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D320" i="20" l="1"/>
  <c r="D319" i="20"/>
  <c r="L36" i="18" l="1"/>
  <c r="D318" i="20"/>
  <c r="D317" i="20"/>
  <c r="P69" i="52" l="1"/>
  <c r="P70" i="52"/>
  <c r="P71" i="52"/>
  <c r="P72" i="52"/>
  <c r="P73" i="52"/>
  <c r="P74" i="52"/>
  <c r="P75" i="52"/>
  <c r="P76" i="52"/>
  <c r="P68" i="52"/>
  <c r="D72" i="52"/>
  <c r="V132" i="18"/>
  <c r="W132" i="18" s="1"/>
  <c r="S132" i="18"/>
  <c r="S131" i="18"/>
  <c r="X132" i="18" l="1"/>
  <c r="P147" i="18"/>
  <c r="W204" i="18"/>
  <c r="W203" i="18"/>
  <c r="G122" i="18"/>
  <c r="G121" i="18"/>
  <c r="G120" i="18"/>
  <c r="G119" i="18"/>
  <c r="J122" i="18"/>
  <c r="J121" i="18"/>
  <c r="J120" i="18"/>
  <c r="J119" i="18"/>
  <c r="J123" i="18" l="1"/>
  <c r="Z40" i="52"/>
  <c r="Z39" i="52"/>
  <c r="Z38" i="52"/>
  <c r="AD38" i="52"/>
  <c r="AD39" i="52"/>
  <c r="AD40" i="52"/>
  <c r="AE40" i="52"/>
  <c r="AE39" i="52"/>
  <c r="AE38" i="52"/>
  <c r="R165" i="18" l="1"/>
  <c r="R187" i="18"/>
  <c r="O69" i="52"/>
  <c r="O70" i="52"/>
  <c r="O71" i="52"/>
  <c r="O72" i="52"/>
  <c r="O73" i="52"/>
  <c r="O74" i="52"/>
  <c r="O75" i="52"/>
  <c r="O76" i="52"/>
  <c r="O68" i="52"/>
  <c r="J76" i="52"/>
  <c r="J66" i="52"/>
  <c r="J67" i="52"/>
  <c r="J68" i="52"/>
  <c r="J69" i="52"/>
  <c r="J70" i="52"/>
  <c r="J71" i="52"/>
  <c r="J72" i="52"/>
  <c r="J73" i="52"/>
  <c r="J74" i="52"/>
  <c r="J75" i="52"/>
  <c r="J65" i="52"/>
  <c r="N69" i="52"/>
  <c r="N70" i="52"/>
  <c r="N71" i="52"/>
  <c r="N72" i="52"/>
  <c r="N73" i="52"/>
  <c r="N74" i="52"/>
  <c r="N75" i="52"/>
  <c r="N68" i="52"/>
  <c r="W202" i="18" l="1"/>
  <c r="W201" i="18"/>
  <c r="Y214" i="18"/>
  <c r="M48" i="52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C24" i="56" l="1"/>
  <c r="B24" i="56"/>
  <c r="R215" i="18" l="1"/>
  <c r="R240" i="18"/>
  <c r="W200" i="18"/>
  <c r="W199" i="18"/>
  <c r="N34" i="52"/>
  <c r="N33" i="52"/>
  <c r="P42" i="52"/>
  <c r="X214" i="18"/>
  <c r="AR14" i="18" l="1"/>
  <c r="D316" i="20" l="1"/>
  <c r="D2" i="57" l="1"/>
  <c r="C2" i="57"/>
  <c r="B2" i="57"/>
  <c r="D63" i="57"/>
  <c r="L22" i="18" s="1"/>
  <c r="C32" i="57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B32" i="57"/>
  <c r="H33" i="57" l="1"/>
  <c r="G33" i="57"/>
  <c r="D315" i="20"/>
  <c r="D314" i="20"/>
  <c r="H38" i="57" l="1"/>
  <c r="I2" i="57"/>
  <c r="I33" i="57" s="1"/>
  <c r="I38" i="57" s="1"/>
  <c r="D32" i="57"/>
  <c r="M41" i="52"/>
  <c r="Z26" i="52"/>
  <c r="AD32" i="52"/>
  <c r="Z32" i="52"/>
  <c r="AE32" i="52"/>
  <c r="W198" i="18" l="1"/>
  <c r="W197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J206" i="18"/>
  <c r="AL205" i="18"/>
  <c r="AM205" i="18" s="1"/>
  <c r="AL204" i="18"/>
  <c r="AM204" i="18" s="1"/>
  <c r="AL203" i="18"/>
  <c r="AM203" i="18" s="1"/>
  <c r="P24" i="18"/>
  <c r="N24" i="18" s="1"/>
  <c r="P22" i="18"/>
  <c r="N22" i="18" s="1"/>
  <c r="P29" i="18"/>
  <c r="N29" i="18" s="1"/>
  <c r="AL201" i="18" l="1"/>
  <c r="AM201" i="18" s="1"/>
  <c r="AL200" i="18"/>
  <c r="AM200" i="18" s="1"/>
  <c r="AL202" i="18"/>
  <c r="AL199" i="18" s="1"/>
  <c r="AM199" i="18" s="1"/>
  <c r="U206" i="18"/>
  <c r="W196" i="18"/>
  <c r="W195" i="18"/>
  <c r="N30" i="52"/>
  <c r="N29" i="52"/>
  <c r="AD27" i="52"/>
  <c r="Z27" i="52"/>
  <c r="AE27" i="52"/>
  <c r="AM202" i="18" l="1"/>
  <c r="W194" i="18"/>
  <c r="W193" i="18"/>
  <c r="L47" i="52"/>
  <c r="N28" i="52"/>
  <c r="N27" i="52"/>
  <c r="AD26" i="52" l="1"/>
  <c r="AE26" i="52"/>
  <c r="N38" i="18"/>
  <c r="D313" i="20" l="1"/>
  <c r="L112" i="18" l="1"/>
  <c r="M112" i="18" l="1"/>
  <c r="L103" i="18"/>
  <c r="W192" i="18"/>
  <c r="W191" i="18"/>
  <c r="AJ148" i="18"/>
  <c r="N24" i="52"/>
  <c r="N26" i="52"/>
  <c r="N25" i="52"/>
  <c r="T222" i="18" l="1"/>
  <c r="N64" i="18"/>
  <c r="K111" i="18"/>
  <c r="L105" i="18"/>
  <c r="Z25" i="52"/>
  <c r="AD25" i="52"/>
  <c r="AE25" i="52"/>
  <c r="D312" i="20"/>
  <c r="D311" i="20"/>
  <c r="D310" i="20"/>
  <c r="H325" i="20"/>
  <c r="G325" i="20"/>
  <c r="K325" i="20" s="1"/>
  <c r="H324" i="20"/>
  <c r="H323" i="20"/>
  <c r="H322" i="20"/>
  <c r="H321" i="20"/>
  <c r="H320" i="20"/>
  <c r="H319" i="20"/>
  <c r="H318" i="20"/>
  <c r="H317" i="20"/>
  <c r="H316" i="20"/>
  <c r="H315" i="20"/>
  <c r="H314" i="20"/>
  <c r="H313" i="20"/>
  <c r="H312" i="20"/>
  <c r="H311" i="20"/>
  <c r="H310" i="20"/>
  <c r="H309" i="20"/>
  <c r="I325" i="20" l="1"/>
  <c r="G324" i="20"/>
  <c r="J325" i="20"/>
  <c r="W190" i="18"/>
  <c r="W189" i="18"/>
  <c r="N23" i="52"/>
  <c r="N22" i="52"/>
  <c r="Z24" i="52"/>
  <c r="AD24" i="52"/>
  <c r="AE24" i="52"/>
  <c r="K324" i="20" l="1"/>
  <c r="J324" i="20"/>
  <c r="G323" i="20"/>
  <c r="I324" i="20"/>
  <c r="AL198" i="18"/>
  <c r="W188" i="18"/>
  <c r="W187" i="18"/>
  <c r="N21" i="52"/>
  <c r="N20" i="52"/>
  <c r="I323" i="20" l="1"/>
  <c r="K323" i="20"/>
  <c r="J323" i="20"/>
  <c r="G322" i="20"/>
  <c r="AM198" i="18"/>
  <c r="AL197" i="18"/>
  <c r="D309" i="20"/>
  <c r="J322" i="20" l="1"/>
  <c r="G321" i="20"/>
  <c r="I322" i="20"/>
  <c r="K322" i="20"/>
  <c r="AL196" i="18"/>
  <c r="AM197" i="18"/>
  <c r="D308" i="20"/>
  <c r="K321" i="20" l="1"/>
  <c r="J321" i="20"/>
  <c r="G320" i="20"/>
  <c r="I321" i="20"/>
  <c r="AM196" i="18"/>
  <c r="AL195" i="18"/>
  <c r="N44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5" i="18" l="1"/>
  <c r="K320" i="20"/>
  <c r="J320" i="20"/>
  <c r="G319" i="20"/>
  <c r="I320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2" i="18"/>
  <c r="I319" i="20" l="1"/>
  <c r="K319" i="20"/>
  <c r="J319" i="20"/>
  <c r="G318" i="20"/>
  <c r="W186" i="18"/>
  <c r="W185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8" i="18"/>
  <c r="F108" i="18" s="1"/>
  <c r="G107" i="18"/>
  <c r="F107" i="18" s="1"/>
  <c r="G106" i="18"/>
  <c r="F106" i="18" s="1"/>
  <c r="G105" i="18"/>
  <c r="F105" i="18" s="1"/>
  <c r="G104" i="18"/>
  <c r="F104" i="18" s="1"/>
  <c r="G103" i="18"/>
  <c r="F103" i="18" s="1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84" i="18"/>
  <c r="W183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4" i="18"/>
  <c r="L106" i="18"/>
  <c r="L107" i="18"/>
  <c r="L108" i="18"/>
  <c r="L109" i="18"/>
  <c r="I311" i="20" l="1"/>
  <c r="K311" i="20"/>
  <c r="J311" i="20"/>
  <c r="G310" i="20"/>
  <c r="W182" i="18"/>
  <c r="W181" i="18"/>
  <c r="D303" i="20"/>
  <c r="D302" i="20"/>
  <c r="W180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26" i="20"/>
  <c r="B326" i="20"/>
  <c r="D297" i="20"/>
  <c r="W178" i="18" l="1"/>
  <c r="N51" i="18"/>
  <c r="N49" i="18"/>
  <c r="M108" i="18" s="1"/>
  <c r="N108" i="18" l="1"/>
  <c r="AD14" i="52"/>
  <c r="AE14" i="52"/>
  <c r="AD13" i="52"/>
  <c r="AE13" i="52"/>
  <c r="Z14" i="52"/>
  <c r="D296" i="20"/>
  <c r="D295" i="20"/>
  <c r="W177" i="18" l="1"/>
  <c r="W176" i="18"/>
  <c r="L11" i="52"/>
  <c r="L10" i="52"/>
  <c r="AL193" i="18"/>
  <c r="AL192" i="18" s="1"/>
  <c r="AL191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75" i="18"/>
  <c r="W174" i="18"/>
  <c r="H38" i="55" l="1"/>
  <c r="I2" i="55"/>
  <c r="I33" i="55" s="1"/>
  <c r="I38" i="55" s="1"/>
  <c r="D32" i="55"/>
  <c r="D293" i="20"/>
  <c r="W173" i="18" l="1"/>
  <c r="N50" i="18"/>
  <c r="M107" i="18" s="1"/>
  <c r="N53" i="18"/>
  <c r="N107" i="18" l="1"/>
  <c r="D292" i="20"/>
  <c r="C8" i="36"/>
  <c r="W172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71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0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42" i="18"/>
  <c r="D281" i="20" l="1"/>
  <c r="D280" i="20" l="1"/>
  <c r="AD5" i="52" l="1"/>
  <c r="B38" i="52"/>
  <c r="D279" i="20"/>
  <c r="W147" i="18" l="1"/>
  <c r="W170" i="18"/>
  <c r="D278" i="20"/>
  <c r="W149" i="18" l="1"/>
  <c r="W148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42" i="18"/>
  <c r="S141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09" i="18" l="1"/>
  <c r="H270" i="20"/>
  <c r="H271" i="20"/>
  <c r="H272" i="20"/>
  <c r="D269" i="20"/>
  <c r="H269" i="20"/>
  <c r="AL135" i="18" l="1"/>
  <c r="S7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19" i="18"/>
  <c r="N120" i="18"/>
  <c r="N121" i="18"/>
  <c r="N122" i="18"/>
  <c r="N123" i="18"/>
  <c r="N124" i="18"/>
  <c r="N125" i="18"/>
  <c r="N126" i="18"/>
  <c r="N118" i="18"/>
  <c r="AM131" i="18" l="1"/>
  <c r="AL130" i="18"/>
  <c r="N4" i="52"/>
  <c r="N3" i="52"/>
  <c r="N2" i="52"/>
  <c r="N41" i="52" l="1"/>
  <c r="M43" i="52" s="1"/>
  <c r="AL129" i="18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69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68" i="18"/>
  <c r="AM124" i="18" l="1"/>
  <c r="AL123" i="18"/>
  <c r="AM123" i="18" l="1"/>
  <c r="AL122" i="18"/>
  <c r="AL121" i="18" l="1"/>
  <c r="AM122" i="18"/>
  <c r="W162" i="18"/>
  <c r="W163" i="18"/>
  <c r="W164" i="18"/>
  <c r="W165" i="18"/>
  <c r="W166" i="18"/>
  <c r="W167" i="18"/>
  <c r="W179" i="18"/>
  <c r="W161" i="18"/>
  <c r="AM121" i="18" l="1"/>
  <c r="AL120" i="18"/>
  <c r="N55" i="18"/>
  <c r="AM120" i="18" l="1"/>
  <c r="AL119" i="18"/>
  <c r="AM119" i="18" l="1"/>
  <c r="AL118" i="18"/>
  <c r="T145" i="18"/>
  <c r="S52" i="18"/>
  <c r="S53" i="18" s="1"/>
  <c r="S54" i="18" s="1"/>
  <c r="R166" i="18"/>
  <c r="R164" i="18"/>
  <c r="D57" i="51"/>
  <c r="AL117" i="18" l="1"/>
  <c r="AM118" i="18"/>
  <c r="S55" i="18"/>
  <c r="S56" i="18" s="1"/>
  <c r="AM117" i="18" l="1"/>
  <c r="AL116" i="18"/>
  <c r="S57" i="18"/>
  <c r="S58" i="18" s="1"/>
  <c r="S59" i="18" s="1"/>
  <c r="S60" i="18" s="1"/>
  <c r="N31" i="18"/>
  <c r="R163" i="18" l="1"/>
  <c r="Q62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6" i="18" s="1"/>
  <c r="N106" i="18" l="1"/>
  <c r="AM112" i="18"/>
  <c r="AL111" i="18"/>
  <c r="D108" i="50"/>
  <c r="AL110" i="18" l="1"/>
  <c r="AM111" i="18"/>
  <c r="N47" i="18"/>
  <c r="AL109" i="18" l="1"/>
  <c r="AM110" i="18"/>
  <c r="N105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9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0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185" i="18"/>
  <c r="AL184" i="18"/>
  <c r="D73" i="48"/>
  <c r="N25" i="18"/>
  <c r="M104" i="18" s="1"/>
  <c r="AL99" i="18" l="1"/>
  <c r="AM100" i="18"/>
  <c r="N104" i="18"/>
  <c r="AL183" i="18"/>
  <c r="AM184" i="18"/>
  <c r="AM99" i="18" l="1"/>
  <c r="AL98" i="18"/>
  <c r="AL182" i="18"/>
  <c r="AM183" i="18"/>
  <c r="P60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47" i="18" s="1"/>
  <c r="R162" i="18" l="1"/>
  <c r="AM94" i="18"/>
  <c r="AL93" i="18"/>
  <c r="AJ210" i="18"/>
  <c r="AJ211" i="18" s="1"/>
  <c r="AL177" i="18"/>
  <c r="AM178" i="18"/>
  <c r="AL92" i="18" l="1"/>
  <c r="AM93" i="18"/>
  <c r="AL176" i="18"/>
  <c r="AM177" i="18"/>
  <c r="S72" i="18"/>
  <c r="S7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74" i="18"/>
  <c r="AL85" i="18" l="1"/>
  <c r="AM86" i="18"/>
  <c r="S75" i="18"/>
  <c r="S76" i="18" s="1"/>
  <c r="S77" i="18" s="1"/>
  <c r="S78" i="18" s="1"/>
  <c r="S79" i="18" s="1"/>
  <c r="S8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1" i="18"/>
  <c r="S82" i="18" s="1"/>
  <c r="S83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25" i="20"/>
  <c r="S84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5" i="18" l="1"/>
  <c r="S86" i="18" s="1"/>
  <c r="AL77" i="18"/>
  <c r="AM78" i="18"/>
  <c r="N60" i="18"/>
  <c r="G307" i="20" l="1"/>
  <c r="K308" i="20"/>
  <c r="J308" i="20"/>
  <c r="I308" i="20"/>
  <c r="S87" i="18"/>
  <c r="S88" i="18" s="1"/>
  <c r="S89" i="18" s="1"/>
  <c r="S90" i="18" s="1"/>
  <c r="S91" i="18" s="1"/>
  <c r="AL76" i="18"/>
  <c r="AM77" i="18"/>
  <c r="G306" i="20" l="1"/>
  <c r="J307" i="20"/>
  <c r="I307" i="20"/>
  <c r="K307" i="20"/>
  <c r="S92" i="18"/>
  <c r="S93" i="18" s="1"/>
  <c r="AL75" i="18"/>
  <c r="AM76" i="18"/>
  <c r="N54" i="18"/>
  <c r="Q137" i="18" s="1"/>
  <c r="R161" i="18" l="1"/>
  <c r="R171" i="18" s="1"/>
  <c r="M103" i="18"/>
  <c r="N103" i="18" s="1"/>
  <c r="N112" i="18" s="1"/>
  <c r="S94" i="18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G305" i="20"/>
  <c r="I306" i="20"/>
  <c r="K306" i="20"/>
  <c r="J306" i="20"/>
  <c r="AJ154" i="18"/>
  <c r="AJ155" i="18" s="1"/>
  <c r="AL74" i="18"/>
  <c r="AM75" i="18"/>
  <c r="U222" i="18" l="1"/>
  <c r="T209" i="18"/>
  <c r="G304" i="20"/>
  <c r="I305" i="20"/>
  <c r="K305" i="20"/>
  <c r="J305" i="20"/>
  <c r="S112" i="18"/>
  <c r="S113" i="18" s="1"/>
  <c r="AL73" i="18"/>
  <c r="AM74" i="18"/>
  <c r="N86" i="18"/>
  <c r="V45" i="18" l="1"/>
  <c r="V44" i="18"/>
  <c r="V43" i="18"/>
  <c r="V39" i="18"/>
  <c r="X39" i="18" s="1"/>
  <c r="V42" i="18"/>
  <c r="V41" i="18"/>
  <c r="V40" i="18"/>
  <c r="W39" i="18"/>
  <c r="V38" i="18"/>
  <c r="V37" i="18"/>
  <c r="S114" i="18"/>
  <c r="S115" i="18" s="1"/>
  <c r="V33" i="18"/>
  <c r="W33" i="18" s="1"/>
  <c r="V34" i="18"/>
  <c r="V35" i="18"/>
  <c r="V46" i="18"/>
  <c r="V36" i="18"/>
  <c r="V32" i="18"/>
  <c r="X32" i="18" s="1"/>
  <c r="V60" i="18"/>
  <c r="G303" i="20"/>
  <c r="K304" i="20"/>
  <c r="I304" i="20"/>
  <c r="J304" i="20"/>
  <c r="V212" i="18"/>
  <c r="V222" i="18"/>
  <c r="V31" i="18"/>
  <c r="W31" i="18" s="1"/>
  <c r="V59" i="18"/>
  <c r="V113" i="18"/>
  <c r="V111" i="18"/>
  <c r="V110" i="18"/>
  <c r="V109" i="18"/>
  <c r="V108" i="18"/>
  <c r="V112" i="18"/>
  <c r="V105" i="18"/>
  <c r="W105" i="18" s="1"/>
  <c r="V107" i="18"/>
  <c r="V106" i="18"/>
  <c r="V104" i="18"/>
  <c r="V103" i="18"/>
  <c r="V30" i="18"/>
  <c r="W30" i="18" s="1"/>
  <c r="V58" i="18"/>
  <c r="V101" i="18"/>
  <c r="V102" i="18"/>
  <c r="V99" i="18"/>
  <c r="V98" i="18"/>
  <c r="V97" i="18"/>
  <c r="V96" i="18"/>
  <c r="V93" i="18"/>
  <c r="V95" i="18"/>
  <c r="V94" i="18"/>
  <c r="V100" i="18"/>
  <c r="V136" i="18"/>
  <c r="V91" i="18"/>
  <c r="W91" i="18" s="1"/>
  <c r="V92" i="18"/>
  <c r="V29" i="18"/>
  <c r="W29" i="18" s="1"/>
  <c r="V57" i="18"/>
  <c r="V89" i="18"/>
  <c r="W89" i="18" s="1"/>
  <c r="V90" i="18"/>
  <c r="V86" i="18"/>
  <c r="W86" i="18" s="1"/>
  <c r="V88" i="18"/>
  <c r="V87" i="18"/>
  <c r="V85" i="18"/>
  <c r="W85" i="18" s="1"/>
  <c r="V83" i="18"/>
  <c r="V84" i="18"/>
  <c r="V28" i="18"/>
  <c r="V27" i="18"/>
  <c r="W27" i="18" s="1"/>
  <c r="V56" i="18"/>
  <c r="V26" i="18"/>
  <c r="X26" i="18" s="1"/>
  <c r="V55" i="18"/>
  <c r="V61" i="18"/>
  <c r="V54" i="18"/>
  <c r="V82" i="18"/>
  <c r="V53" i="18"/>
  <c r="V81" i="18"/>
  <c r="V25" i="18"/>
  <c r="V80" i="18"/>
  <c r="V24" i="18"/>
  <c r="V22" i="18"/>
  <c r="V23" i="18"/>
  <c r="W23" i="18" s="1"/>
  <c r="V79" i="18"/>
  <c r="V78" i="18"/>
  <c r="V77" i="18"/>
  <c r="V21" i="18"/>
  <c r="V76" i="18"/>
  <c r="V75" i="18"/>
  <c r="V73" i="18"/>
  <c r="V74" i="18"/>
  <c r="V70" i="18"/>
  <c r="V20" i="18"/>
  <c r="V71" i="18"/>
  <c r="V72" i="18"/>
  <c r="AL72" i="18"/>
  <c r="AM73" i="18"/>
  <c r="X43" i="18" l="1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14" i="18"/>
  <c r="X114" i="18" s="1"/>
  <c r="S116" i="18"/>
  <c r="V115" i="18"/>
  <c r="W115" i="18" s="1"/>
  <c r="X33" i="18"/>
  <c r="W46" i="18"/>
  <c r="X46" i="18"/>
  <c r="W34" i="18"/>
  <c r="X34" i="18"/>
  <c r="W35" i="18"/>
  <c r="X35" i="18"/>
  <c r="X36" i="18"/>
  <c r="W36" i="18"/>
  <c r="W32" i="18"/>
  <c r="X60" i="18"/>
  <c r="W60" i="18"/>
  <c r="S149" i="18"/>
  <c r="G302" i="20"/>
  <c r="K303" i="20"/>
  <c r="I303" i="20"/>
  <c r="J303" i="20"/>
  <c r="X31" i="18"/>
  <c r="W59" i="18"/>
  <c r="X59" i="18"/>
  <c r="X105" i="18"/>
  <c r="W108" i="18"/>
  <c r="X108" i="18"/>
  <c r="W110" i="18"/>
  <c r="X110" i="18"/>
  <c r="X112" i="18"/>
  <c r="W112" i="18"/>
  <c r="W111" i="18"/>
  <c r="X111" i="18"/>
  <c r="W109" i="18"/>
  <c r="X109" i="18"/>
  <c r="W113" i="18"/>
  <c r="X113" i="18"/>
  <c r="W106" i="18"/>
  <c r="X106" i="18"/>
  <c r="W107" i="18"/>
  <c r="X107" i="18"/>
  <c r="X30" i="18"/>
  <c r="W103" i="18"/>
  <c r="X103" i="18"/>
  <c r="W104" i="18"/>
  <c r="X104" i="18"/>
  <c r="W58" i="18"/>
  <c r="X58" i="18"/>
  <c r="W102" i="18"/>
  <c r="X102" i="18"/>
  <c r="W101" i="18"/>
  <c r="X101" i="18"/>
  <c r="X98" i="18"/>
  <c r="W98" i="18"/>
  <c r="W99" i="18"/>
  <c r="X99" i="18"/>
  <c r="W96" i="18"/>
  <c r="X96" i="18"/>
  <c r="W97" i="18"/>
  <c r="X97" i="18"/>
  <c r="W136" i="18"/>
  <c r="X136" i="18"/>
  <c r="W95" i="18"/>
  <c r="X95" i="18"/>
  <c r="X100" i="18"/>
  <c r="W100" i="18"/>
  <c r="W94" i="18"/>
  <c r="X94" i="18"/>
  <c r="W93" i="18"/>
  <c r="X93" i="18"/>
  <c r="X91" i="18"/>
  <c r="W92" i="18"/>
  <c r="X92" i="18"/>
  <c r="X29" i="18"/>
  <c r="W57" i="18"/>
  <c r="X57" i="18"/>
  <c r="X89" i="18"/>
  <c r="W90" i="18"/>
  <c r="X90" i="18"/>
  <c r="X86" i="18"/>
  <c r="W87" i="18"/>
  <c r="X87" i="18"/>
  <c r="W88" i="18"/>
  <c r="X88" i="18"/>
  <c r="X85" i="18"/>
  <c r="W84" i="18"/>
  <c r="X84" i="18"/>
  <c r="W83" i="18"/>
  <c r="X83" i="18"/>
  <c r="W28" i="18"/>
  <c r="X28" i="18"/>
  <c r="X27" i="18"/>
  <c r="W56" i="18"/>
  <c r="X56" i="18"/>
  <c r="W26" i="18"/>
  <c r="W55" i="18"/>
  <c r="X55" i="18"/>
  <c r="W54" i="18"/>
  <c r="X54" i="18"/>
  <c r="W61" i="18"/>
  <c r="X61" i="18"/>
  <c r="S148" i="18"/>
  <c r="N34" i="18" s="1"/>
  <c r="S147" i="18"/>
  <c r="U147" i="18" s="1"/>
  <c r="W82" i="18"/>
  <c r="X82" i="18"/>
  <c r="X53" i="18"/>
  <c r="W53" i="18"/>
  <c r="W75" i="18"/>
  <c r="X75" i="18"/>
  <c r="W77" i="18"/>
  <c r="X77" i="18"/>
  <c r="W80" i="18"/>
  <c r="X80" i="18"/>
  <c r="W72" i="18"/>
  <c r="X72" i="18"/>
  <c r="W78" i="18"/>
  <c r="X78" i="18"/>
  <c r="X23" i="18"/>
  <c r="W25" i="18"/>
  <c r="X25" i="18"/>
  <c r="W20" i="18"/>
  <c r="X20" i="18"/>
  <c r="W74" i="18"/>
  <c r="X74" i="18"/>
  <c r="W22" i="18"/>
  <c r="X22" i="18"/>
  <c r="X81" i="18"/>
  <c r="W81" i="18"/>
  <c r="W71" i="18"/>
  <c r="X71" i="18"/>
  <c r="W70" i="18"/>
  <c r="X70" i="18"/>
  <c r="W76" i="18"/>
  <c r="X76" i="18"/>
  <c r="W73" i="18"/>
  <c r="X73" i="18"/>
  <c r="X21" i="18"/>
  <c r="W21" i="18"/>
  <c r="W79" i="18"/>
  <c r="X79" i="18"/>
  <c r="W24" i="18"/>
  <c r="X24" i="18"/>
  <c r="AL71" i="18"/>
  <c r="AM72" i="18"/>
  <c r="W114" i="18" l="1"/>
  <c r="X115" i="18"/>
  <c r="S117" i="18"/>
  <c r="V116" i="18"/>
  <c r="N63" i="18"/>
  <c r="U149" i="18"/>
  <c r="L21" i="18"/>
  <c r="G301" i="20"/>
  <c r="I302" i="20"/>
  <c r="K302" i="20"/>
  <c r="J302" i="20"/>
  <c r="U148" i="18"/>
  <c r="V148" i="18" s="1"/>
  <c r="AL70" i="18"/>
  <c r="AM71" i="18"/>
  <c r="X116" i="18" l="1"/>
  <c r="W116" i="18"/>
  <c r="S118" i="18"/>
  <c r="V117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7" i="18" l="1"/>
  <c r="X117" i="18"/>
  <c r="S119" i="18"/>
  <c r="V118" i="18"/>
  <c r="G299" i="20"/>
  <c r="I300" i="20"/>
  <c r="K300" i="20"/>
  <c r="J300" i="20"/>
  <c r="AL68" i="18"/>
  <c r="AM69" i="18"/>
  <c r="N2" i="33"/>
  <c r="W118" i="18" l="1"/>
  <c r="X118" i="18"/>
  <c r="S120" i="18"/>
  <c r="V119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9" i="18" l="1"/>
  <c r="W119" i="18"/>
  <c r="S121" i="18"/>
  <c r="V120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F44" i="14"/>
  <c r="F48" i="14"/>
  <c r="F49" i="14"/>
  <c r="E50" i="14"/>
  <c r="E49" i="14" s="1"/>
  <c r="B51" i="14"/>
  <c r="G49" i="14" l="1"/>
  <c r="W120" i="18"/>
  <c r="X120" i="18"/>
  <c r="S122" i="18"/>
  <c r="V121" i="18"/>
  <c r="I297" i="20"/>
  <c r="K297" i="20"/>
  <c r="J297" i="20"/>
  <c r="G296" i="20"/>
  <c r="AL65" i="18"/>
  <c r="AM66" i="18"/>
  <c r="E48" i="14"/>
  <c r="G48" i="14" s="1"/>
  <c r="X121" i="18" l="1"/>
  <c r="W121" i="18"/>
  <c r="S123" i="18"/>
  <c r="V122" i="18"/>
  <c r="G295" i="20"/>
  <c r="K296" i="20"/>
  <c r="I296" i="20"/>
  <c r="J296" i="20"/>
  <c r="AL64" i="18"/>
  <c r="AM65" i="18"/>
  <c r="E44" i="14"/>
  <c r="G44" i="14" s="1"/>
  <c r="W122" i="18" l="1"/>
  <c r="X122" i="18"/>
  <c r="S124" i="18"/>
  <c r="V123" i="18"/>
  <c r="G294" i="20"/>
  <c r="K295" i="20"/>
  <c r="J295" i="20"/>
  <c r="I295" i="20"/>
  <c r="AM64" i="18"/>
  <c r="AL63" i="18"/>
  <c r="E43" i="14"/>
  <c r="G43" i="14" s="1"/>
  <c r="W123" i="18" l="1"/>
  <c r="X123" i="18"/>
  <c r="V124" i="18"/>
  <c r="S125" i="18"/>
  <c r="G293" i="20"/>
  <c r="I294" i="20"/>
  <c r="J294" i="20"/>
  <c r="K294" i="20"/>
  <c r="AL62" i="18"/>
  <c r="AM63" i="18"/>
  <c r="E42" i="14"/>
  <c r="G42" i="14" s="1"/>
  <c r="S126" i="18" l="1"/>
  <c r="V125" i="18"/>
  <c r="W124" i="18"/>
  <c r="X124" i="18"/>
  <c r="G292" i="20"/>
  <c r="K293" i="20"/>
  <c r="J293" i="20"/>
  <c r="I293" i="20"/>
  <c r="AL61" i="18"/>
  <c r="AM62" i="18"/>
  <c r="E41" i="14"/>
  <c r="G41" i="14" s="1"/>
  <c r="V126" i="18" l="1"/>
  <c r="X126" i="18" s="1"/>
  <c r="S127" i="18"/>
  <c r="X125" i="18"/>
  <c r="W125" i="18"/>
  <c r="J292" i="20"/>
  <c r="I292" i="20"/>
  <c r="G291" i="20"/>
  <c r="K292" i="20"/>
  <c r="AM61" i="18"/>
  <c r="AL60" i="18"/>
  <c r="E40" i="14"/>
  <c r="G40" i="14" s="1"/>
  <c r="W126" i="18" l="1"/>
  <c r="V127" i="18"/>
  <c r="W127" i="18" s="1"/>
  <c r="S128" i="18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28" i="18" l="1"/>
  <c r="W128" i="18" s="1"/>
  <c r="S129" i="18"/>
  <c r="X128" i="18"/>
  <c r="X127" i="18"/>
  <c r="J290" i="20"/>
  <c r="G289" i="20"/>
  <c r="I290" i="20"/>
  <c r="K290" i="20"/>
  <c r="AM59" i="18"/>
  <c r="AL58" i="18"/>
  <c r="E38" i="14"/>
  <c r="G38" i="14" s="1"/>
  <c r="S130" i="18" l="1"/>
  <c r="V129" i="18"/>
  <c r="G288" i="20"/>
  <c r="K289" i="20"/>
  <c r="J289" i="20"/>
  <c r="I289" i="20"/>
  <c r="AL57" i="18"/>
  <c r="AM58" i="18"/>
  <c r="E37" i="14"/>
  <c r="G37" i="14" s="1"/>
  <c r="W129" i="18" l="1"/>
  <c r="X129" i="18"/>
  <c r="V130" i="18"/>
  <c r="J288" i="20"/>
  <c r="K288" i="20"/>
  <c r="G287" i="20"/>
  <c r="I288" i="20"/>
  <c r="AL56" i="18"/>
  <c r="AM57" i="18"/>
  <c r="E36" i="14"/>
  <c r="G36" i="14" s="1"/>
  <c r="B105" i="13"/>
  <c r="W130" i="18" l="1"/>
  <c r="X130" i="18"/>
  <c r="V131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W131" i="18" l="1"/>
  <c r="X131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84" i="20" l="1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83" i="20" l="1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81" i="20" l="1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0" i="14"/>
  <c r="G50" i="14" s="1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26" i="20" s="1"/>
  <c r="I130" i="20" l="1"/>
  <c r="J130" i="20"/>
  <c r="G129" i="20"/>
  <c r="K130" i="20"/>
  <c r="E49" i="13"/>
  <c r="G50" i="13"/>
  <c r="G128" i="20" l="1"/>
  <c r="J129" i="20"/>
  <c r="I129" i="20"/>
  <c r="K129" i="20"/>
  <c r="N17" i="18"/>
  <c r="N66" i="18" s="1"/>
  <c r="D333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7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6" i="18" l="1"/>
  <c r="F24" i="18" s="1"/>
  <c r="G113" i="20"/>
  <c r="J114" i="20"/>
  <c r="I114" i="20"/>
  <c r="K114" i="20"/>
  <c r="L67" i="18"/>
  <c r="E33" i="13"/>
  <c r="G34" i="13"/>
  <c r="F108" i="15"/>
  <c r="C20" i="18"/>
  <c r="G20" i="14"/>
  <c r="G21" i="14"/>
  <c r="G112" i="20" l="1"/>
  <c r="K113" i="20"/>
  <c r="J113" i="20"/>
  <c r="I113" i="20"/>
  <c r="L68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1" i="14"/>
  <c r="G54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47" i="18"/>
  <c r="V149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26" i="20" s="1"/>
  <c r="I2" i="20"/>
  <c r="I326" i="20" s="1"/>
  <c r="I329" i="20" s="1"/>
  <c r="J2" i="20"/>
  <c r="J326" i="20" s="1"/>
  <c r="J329" i="20" l="1"/>
  <c r="J333" i="20"/>
  <c r="K329" i="20"/>
  <c r="K333" i="20"/>
</calcChain>
</file>

<file path=xl/sharedStrings.xml><?xml version="1.0" encoding="utf-8"?>
<sst xmlns="http://schemas.openxmlformats.org/spreadsheetml/2006/main" count="11060" uniqueCount="4863">
  <si>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</si>
  <si>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</si>
  <si>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</si>
  <si>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</si>
  <si>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</si>
  <si>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</si>
  <si>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</si>
  <si>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</si>
  <si>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</si>
  <si>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</si>
  <si>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</si>
  <si>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</si>
  <si>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</si>
  <si>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</si>
  <si>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</si>
  <si>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</si>
  <si>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</si>
  <si>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</si>
  <si>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</si>
  <si>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</si>
  <si>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</si>
  <si>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</si>
  <si>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</si>
  <si>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</si>
  <si>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</si>
  <si>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</si>
  <si>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</si>
  <si>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</si>
  <si>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</si>
  <si>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</si>
  <si>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</si>
  <si>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</si>
  <si>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</si>
  <si>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</si>
  <si>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</si>
  <si>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</si>
  <si>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</si>
  <si>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</si>
  <si>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</si>
  <si>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</si>
  <si>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</si>
  <si>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</si>
  <si>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</si>
  <si>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</si>
  <si>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</si>
  <si>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</si>
  <si>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</si>
  <si>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</si>
  <si>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</si>
  <si>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</si>
  <si>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</si>
  <si>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</si>
  <si>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</si>
  <si>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</si>
  <si>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</si>
  <si>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</si>
  <si>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</si>
  <si>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</si>
  <si>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</si>
  <si>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</si>
  <si>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</si>
  <si>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</si>
  <si>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</si>
  <si>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</si>
  <si>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</si>
  <si>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</si>
  <si>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</si>
  <si>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</si>
  <si>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</si>
  <si>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</si>
  <si>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</si>
  <si>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</si>
  <si>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</si>
  <si>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</si>
  <si>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</si>
  <si>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</si>
  <si>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</si>
  <si>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</si>
  <si>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</si>
  <si>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</si>
  <si>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</si>
  <si>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</si>
  <si>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</si>
  <si>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</si>
  <si>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</si>
  <si>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</si>
  <si>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</si>
  <si>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</si>
  <si>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</si>
  <si>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</si>
  <si>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</si>
  <si>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</si>
  <si>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</si>
  <si>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</si>
  <si>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</si>
  <si>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</si>
  <si>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</si>
  <si>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</si>
  <si>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</si>
  <si>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</si>
  <si>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</si>
  <si>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</si>
  <si>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</si>
  <si>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</si>
  <si>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</si>
  <si>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</si>
  <si>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</si>
  <si>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</si>
  <si>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</si>
  <si>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</si>
  <si>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</si>
  <si>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</si>
  <si>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</si>
  <si>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</si>
  <si>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</si>
  <si>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</si>
  <si>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</si>
  <si>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</si>
  <si>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</si>
  <si>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</si>
  <si>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</si>
  <si>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</si>
  <si>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</si>
  <si>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</si>
  <si>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</si>
  <si>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</si>
  <si>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</si>
  <si>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</si>
  <si>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</si>
  <si>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</si>
  <si>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</si>
  <si>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</si>
  <si>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</si>
  <si>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</si>
  <si>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</si>
  <si>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</si>
  <si>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</si>
  <si>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</si>
  <si>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</si>
  <si>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</si>
  <si>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</si>
  <si>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</si>
  <si>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</si>
  <si>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</si>
  <si>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</si>
  <si>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</si>
  <si>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</si>
  <si>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</si>
  <si>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</si>
  <si>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</si>
  <si>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</si>
  <si>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</si>
  <si>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</si>
  <si>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</si>
  <si>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</si>
  <si>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</si>
  <si>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</si>
  <si>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</si>
  <si>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</si>
  <si>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</si>
  <si>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</si>
  <si>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</si>
  <si>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</si>
  <si>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</si>
  <si>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</si>
  <si>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</si>
  <si>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</si>
  <si>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</si>
  <si>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</si>
  <si>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</si>
  <si>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</si>
  <si>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</si>
  <si>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</si>
  <si>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</si>
  <si>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</si>
  <si>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</si>
  <si>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</si>
  <si>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</si>
  <si>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</si>
  <si>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</si>
  <si>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</si>
  <si>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</si>
  <si>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</si>
  <si>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</si>
  <si>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</si>
  <si>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</si>
  <si>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</si>
  <si>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</si>
  <si>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</si>
  <si>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</si>
  <si>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</si>
  <si>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</si>
  <si>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</si>
  <si>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</si>
  <si>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</si>
  <si>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</si>
  <si>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</si>
  <si>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</si>
  <si>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</si>
  <si>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</si>
  <si>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</si>
  <si>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</si>
  <si>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</si>
  <si>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</si>
  <si>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</si>
  <si>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</si>
  <si>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</si>
  <si>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</si>
  <si>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</si>
  <si>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</si>
  <si>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</si>
  <si>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</si>
  <si>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</si>
  <si>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</si>
  <si>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</si>
  <si>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</si>
  <si>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</si>
  <si>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</si>
  <si>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</si>
  <si>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</si>
  <si>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</si>
  <si>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</si>
  <si>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</si>
  <si>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</si>
  <si>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</si>
  <si>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</si>
  <si>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</si>
  <si>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</si>
  <si>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</si>
  <si>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</si>
  <si>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</si>
  <si>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</si>
  <si>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</si>
  <si>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</si>
  <si>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</si>
  <si>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</si>
  <si>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</si>
  <si>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</si>
  <si>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</si>
  <si>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</si>
  <si>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</si>
  <si>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</si>
  <si>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</si>
  <si>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</si>
  <si>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</si>
  <si>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</si>
  <si>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</si>
  <si>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</si>
  <si>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</si>
  <si>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</si>
  <si>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</si>
  <si>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</si>
  <si>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</si>
  <si>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</si>
  <si>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</si>
  <si>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</si>
  <si>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</si>
  <si>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</si>
  <si>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</si>
  <si>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</si>
  <si>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</si>
  <si>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</si>
  <si>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</si>
  <si>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</si>
  <si>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</si>
  <si>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</si>
  <si>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</si>
  <si>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</si>
  <si>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</si>
  <si>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</si>
  <si>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</si>
  <si>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</si>
  <si>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</si>
  <si>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</si>
  <si>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</si>
  <si>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</si>
  <si>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</si>
  <si>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</si>
  <si>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</si>
  <si>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</si>
  <si>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</si>
  <si>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</si>
  <si>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</si>
  <si>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</si>
  <si>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</si>
  <si>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</si>
  <si>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</si>
  <si>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</si>
  <si>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</si>
  <si>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</si>
  <si>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</si>
  <si>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</si>
  <si>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</si>
  <si>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</si>
  <si>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</si>
  <si>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</si>
  <si>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</si>
  <si>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</si>
  <si>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</si>
  <si>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</si>
  <si>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</si>
  <si>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</si>
  <si>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</si>
  <si>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</si>
  <si>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</si>
  <si>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</si>
  <si>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</si>
  <si>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</si>
  <si>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</si>
  <si>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</si>
  <si>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</si>
  <si>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</si>
  <si>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</si>
  <si>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</si>
  <si>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</si>
  <si>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</si>
  <si>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</si>
  <si>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</si>
  <si>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</si>
  <si>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</si>
  <si>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</si>
  <si>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</si>
  <si>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</si>
  <si>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</si>
  <si>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</si>
  <si>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</si>
  <si>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</si>
  <si>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</si>
  <si>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</si>
  <si>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</si>
  <si>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</si>
  <si>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</si>
  <si>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</si>
  <si>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</si>
  <si>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</si>
  <si>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</si>
  <si>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</si>
  <si>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</si>
  <si>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</si>
  <si>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</si>
  <si>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</si>
  <si>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</si>
  <si>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</si>
  <si>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</si>
  <si>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</si>
  <si>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</si>
  <si>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</si>
  <si>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</si>
  <si>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</si>
  <si>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</si>
  <si>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</si>
  <si>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</si>
  <si>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</si>
  <si>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</si>
  <si>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</si>
  <si>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</si>
  <si>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</si>
  <si>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</si>
  <si>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</si>
  <si>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</si>
  <si>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</si>
  <si>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</si>
  <si>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</si>
  <si>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</si>
  <si>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</si>
  <si>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</si>
  <si>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</si>
  <si>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</si>
  <si>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</si>
  <si>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</si>
  <si>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</si>
  <si>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</si>
  <si>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</si>
  <si>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</si>
  <si>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</si>
  <si>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</si>
  <si>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</si>
  <si>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</si>
  <si>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</si>
  <si>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</si>
  <si>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</si>
  <si>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</si>
  <si>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</si>
  <si>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</si>
  <si>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</si>
  <si>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</si>
  <si>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</si>
  <si>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</si>
  <si>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</si>
  <si>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</si>
  <si>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</si>
  <si>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</si>
  <si>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</si>
  <si>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</si>
  <si>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</si>
  <si>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</si>
  <si>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</si>
  <si>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</si>
  <si>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</si>
  <si>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</si>
  <si>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</si>
  <si>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</si>
  <si>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</si>
  <si>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</si>
  <si>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</si>
  <si>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</si>
  <si>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</si>
  <si>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</si>
  <si>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</si>
  <si>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</si>
  <si>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</si>
  <si>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</si>
  <si>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</si>
  <si>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</si>
  <si>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</si>
  <si>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</si>
  <si>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</si>
  <si>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</si>
  <si>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</si>
  <si>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</si>
  <si>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</si>
  <si>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</si>
  <si>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</si>
  <si>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</si>
  <si>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</si>
  <si>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</si>
  <si>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</si>
  <si>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</si>
  <si>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</si>
  <si>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</si>
  <si>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</si>
  <si>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</si>
  <si>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</si>
  <si>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</si>
  <si>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</si>
  <si>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</si>
  <si>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</si>
  <si>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</si>
  <si>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</si>
  <si>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</si>
  <si>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</si>
  <si>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</si>
  <si>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</si>
  <si>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</si>
  <si>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</si>
  <si>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</si>
  <si>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</si>
  <si>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</si>
  <si>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</si>
  <si>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</si>
  <si>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</si>
  <si>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</si>
  <si>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</si>
  <si>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</si>
  <si>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</si>
  <si>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</si>
  <si>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</si>
  <si>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</si>
  <si>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</si>
  <si>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</si>
  <si>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</si>
  <si>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</si>
  <si>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</si>
  <si>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</si>
  <si>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</si>
  <si>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</si>
  <si>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</si>
  <si>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</si>
  <si>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</si>
  <si>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</si>
  <si>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</si>
  <si>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</si>
  <si>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</si>
  <si>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</si>
  <si>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</si>
  <si>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</si>
  <si>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</si>
  <si>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</si>
  <si>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</si>
  <si>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</si>
  <si>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</si>
  <si>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</si>
  <si>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</si>
  <si>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</si>
  <si>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</si>
  <si>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</si>
  <si>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</si>
  <si>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</si>
  <si>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</si>
  <si>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</si>
  <si>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</si>
  <si>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</si>
  <si>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</si>
  <si>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</si>
  <si>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</si>
  <si>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</si>
  <si>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</si>
  <si>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</si>
  <si>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</si>
  <si>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</si>
  <si>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</si>
  <si>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</si>
  <si>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</si>
  <si>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</si>
  <si>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</si>
  <si>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</si>
  <si>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</si>
  <si>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</si>
  <si>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</si>
  <si>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</si>
  <si>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</si>
  <si>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</si>
  <si>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</si>
  <si>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</si>
  <si>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</si>
  <si>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</si>
  <si>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</si>
  <si>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</si>
  <si>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</si>
  <si>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</si>
  <si>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</si>
  <si>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</si>
  <si>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</si>
  <si>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</si>
  <si>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</si>
  <si>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</si>
  <si>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</si>
  <si>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</si>
  <si>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</si>
  <si>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</si>
  <si>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</si>
  <si>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</si>
  <si>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</si>
  <si>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</si>
  <si>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</si>
  <si>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</si>
  <si>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</si>
  <si>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</si>
  <si>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</si>
  <si>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</si>
  <si>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</si>
  <si>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</si>
  <si>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</si>
  <si>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</si>
  <si>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</si>
  <si>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</si>
  <si>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</si>
  <si>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</si>
  <si>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</si>
  <si>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</si>
  <si>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</si>
  <si>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</si>
  <si>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</si>
  <si>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</si>
  <si>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</si>
  <si>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</si>
  <si>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</si>
  <si>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</si>
  <si>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</si>
  <si>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</si>
  <si>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</si>
  <si>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</si>
  <si>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</si>
  <si>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</si>
  <si>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</si>
  <si>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</si>
  <si>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</si>
  <si>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</si>
  <si>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</si>
  <si>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</si>
  <si>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</si>
  <si>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</si>
  <si>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</si>
  <si>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</si>
  <si>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</si>
  <si>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</si>
  <si>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</si>
  <si>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</si>
  <si>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</si>
  <si>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</si>
  <si>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</si>
  <si>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</si>
  <si>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</si>
  <si>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</si>
  <si>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</si>
  <si>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</si>
  <si>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</si>
  <si>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</si>
  <si>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</si>
  <si>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</si>
  <si>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</si>
  <si>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</si>
  <si>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</si>
  <si>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</si>
  <si>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</si>
  <si>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</si>
  <si>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</si>
  <si>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</si>
  <si>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</si>
  <si>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</si>
  <si>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</si>
  <si>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</si>
  <si>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</si>
  <si>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</si>
  <si>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</si>
  <si>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</si>
  <si>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</si>
  <si>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</si>
  <si>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</si>
  <si>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</si>
  <si>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</si>
  <si>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</si>
  <si>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</si>
  <si>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</si>
  <si>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</si>
  <si>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</si>
  <si>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</si>
  <si>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</si>
  <si>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</si>
  <si>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</si>
  <si>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</si>
  <si>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</si>
  <si>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</si>
  <si>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</si>
  <si>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</si>
  <si>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</si>
  <si>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</si>
  <si>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</si>
  <si>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</si>
  <si>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</si>
  <si>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</si>
  <si>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</si>
  <si>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</si>
  <si>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</si>
  <si>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</si>
  <si>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</si>
  <si>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</si>
  <si>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</si>
  <si>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</si>
  <si>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</si>
  <si>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</si>
  <si>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</si>
  <si>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</si>
  <si>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</si>
  <si>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</si>
  <si>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</si>
  <si>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</si>
  <si>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</si>
  <si>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</si>
  <si>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</si>
  <si>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</si>
  <si>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</si>
  <si>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</si>
  <si>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</si>
  <si>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</si>
  <si>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</si>
  <si>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</si>
  <si>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</si>
  <si>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</si>
  <si>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</si>
  <si>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</si>
  <si>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</si>
  <si>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</si>
  <si>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</si>
  <si>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</si>
  <si>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</si>
  <si>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</si>
  <si>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</si>
  <si>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</si>
  <si>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</si>
  <si>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</si>
  <si>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</si>
  <si>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</si>
  <si>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</si>
  <si>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</si>
  <si>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</si>
  <si>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</si>
  <si>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</si>
  <si>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</si>
  <si>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</si>
  <si>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</si>
  <si>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</si>
  <si>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</si>
  <si>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</si>
  <si>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</si>
  <si>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</si>
  <si>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</si>
  <si>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</si>
  <si>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</si>
  <si>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</si>
  <si>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</si>
  <si>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</si>
  <si>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</si>
  <si>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</si>
  <si>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</si>
  <si>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</si>
  <si>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</si>
  <si>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</si>
  <si>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</si>
  <si>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</si>
  <si>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</si>
  <si>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</si>
  <si>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</si>
  <si>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</si>
  <si>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</si>
  <si>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</si>
  <si>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</si>
  <si>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</si>
  <si>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</si>
  <si>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</si>
  <si>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</si>
  <si>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</si>
  <si>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</si>
  <si>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</si>
  <si>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</si>
  <si>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</si>
  <si>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</si>
  <si>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</si>
  <si>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</si>
  <si>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</si>
  <si>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</si>
  <si>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</si>
  <si>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</si>
  <si>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</si>
  <si>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</si>
  <si>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</si>
  <si>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</si>
  <si>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</si>
  <si>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</si>
  <si>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</si>
  <si>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</si>
  <si>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</si>
  <si>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</si>
  <si>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</si>
  <si>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</si>
  <si>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</si>
  <si>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</si>
  <si>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</si>
  <si>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</si>
  <si>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</si>
  <si>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</si>
  <si>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</si>
  <si>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</si>
  <si>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</si>
  <si>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</si>
  <si>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</si>
  <si>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</si>
  <si>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</si>
  <si>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</si>
  <si>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</si>
  <si>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</si>
  <si>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</si>
  <si>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</si>
  <si>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</si>
  <si>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</si>
  <si>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</si>
  <si>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</si>
  <si>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</si>
  <si>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</si>
  <si>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</si>
  <si>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</si>
  <si>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</si>
  <si>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</si>
  <si>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</si>
  <si>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</si>
  <si>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</si>
  <si>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</si>
  <si>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</si>
  <si>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</si>
  <si>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</si>
  <si>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</si>
  <si>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</si>
  <si>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</si>
  <si>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</si>
  <si>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</si>
  <si>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</si>
  <si>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</si>
  <si>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</si>
  <si>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</si>
  <si>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</si>
  <si>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</si>
  <si>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</si>
  <si>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</si>
  <si>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</si>
  <si>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</si>
  <si>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</si>
  <si>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</si>
  <si>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</si>
  <si>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</si>
  <si>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</si>
  <si>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</si>
  <si>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</si>
  <si>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</si>
  <si>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</si>
  <si>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</si>
  <si>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</si>
  <si>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</si>
  <si>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</si>
  <si>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</si>
  <si>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</si>
  <si>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</si>
  <si>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</si>
  <si>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</si>
  <si>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</si>
  <si>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</si>
  <si>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</si>
  <si>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</si>
  <si>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</si>
  <si>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</si>
  <si>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</si>
  <si>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</si>
  <si>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</si>
  <si>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</si>
  <si>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</si>
  <si>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</si>
  <si>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</si>
  <si>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</si>
  <si>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</si>
  <si>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</si>
  <si>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</si>
  <si>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</si>
  <si>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</si>
  <si>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</si>
  <si>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</si>
  <si>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</si>
  <si>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</si>
  <si>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</si>
  <si>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</si>
  <si>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</si>
  <si>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</si>
  <si>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</si>
  <si>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</si>
  <si>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</si>
  <si>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</si>
  <si>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</si>
  <si>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</si>
  <si>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</si>
  <si>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</si>
  <si>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</si>
  <si>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</si>
  <si>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</si>
  <si>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</si>
  <si>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</si>
  <si>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</si>
  <si>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</si>
  <si>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</si>
  <si>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</si>
  <si>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</si>
  <si>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</si>
  <si>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</si>
  <si>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</si>
  <si>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</si>
  <si>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</si>
  <si>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</si>
  <si>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</si>
  <si>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</si>
  <si>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</si>
  <si>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</si>
  <si>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</si>
  <si>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</si>
  <si>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</si>
  <si>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</si>
  <si>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</si>
  <si>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</si>
  <si>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</si>
  <si>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</si>
  <si>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</si>
  <si>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</si>
  <si>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</si>
  <si>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</si>
  <si>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</si>
  <si>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</si>
  <si>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</si>
  <si>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</si>
  <si>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</si>
  <si>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</si>
  <si>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</si>
  <si>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</si>
  <si>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</si>
  <si>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</si>
  <si>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</si>
  <si>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</si>
  <si>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</si>
  <si>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</si>
  <si>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</si>
  <si>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</si>
  <si>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</si>
  <si>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</si>
  <si>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</si>
  <si>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</si>
  <si>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</si>
  <si>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</si>
  <si>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</si>
  <si>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</si>
  <si>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</si>
  <si>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</si>
  <si>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</si>
  <si>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</si>
  <si>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</si>
  <si>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</si>
  <si>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</si>
  <si>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</si>
  <si>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</si>
  <si>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</si>
  <si>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</si>
  <si>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</si>
  <si>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</si>
  <si>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</si>
  <si>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</si>
  <si>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</si>
  <si>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</si>
  <si>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</si>
  <si>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</si>
  <si>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</si>
  <si>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</si>
  <si>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</si>
  <si>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</si>
  <si>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</si>
  <si>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</si>
  <si>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</si>
  <si>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</si>
  <si>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</si>
  <si>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</si>
  <si>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</si>
  <si>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</si>
  <si>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</si>
  <si>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</si>
  <si>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</si>
  <si>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</si>
  <si>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</si>
  <si>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</si>
  <si>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</si>
  <si>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</si>
  <si>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</si>
  <si>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</si>
  <si>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</si>
  <si>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</si>
  <si>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</si>
  <si>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</si>
  <si>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</si>
  <si>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</si>
  <si>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</si>
  <si>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</si>
  <si>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</si>
  <si>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</si>
  <si>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</si>
  <si>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</si>
  <si>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</si>
  <si>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</si>
  <si>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</si>
  <si>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</si>
  <si>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</si>
  <si>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</si>
  <si>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</si>
  <si>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</si>
  <si>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</si>
  <si>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</si>
  <si>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</si>
  <si>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</si>
  <si>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</si>
  <si>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</si>
  <si>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</si>
  <si>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</si>
  <si>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</si>
  <si>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</si>
  <si>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</si>
  <si>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</si>
  <si>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</si>
  <si>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</si>
  <si>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</si>
  <si>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</si>
  <si>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</si>
  <si>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</si>
  <si>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</si>
  <si>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</si>
  <si>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</si>
  <si>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</si>
  <si>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</si>
  <si>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</si>
  <si>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</si>
  <si>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</si>
  <si>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</si>
  <si>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</si>
  <si>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</si>
  <si>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</si>
  <si>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</si>
  <si>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</si>
  <si>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</si>
  <si>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</si>
  <si>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</si>
  <si>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</si>
  <si>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</si>
  <si>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</si>
  <si>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</si>
  <si>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</si>
  <si>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</si>
  <si>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</si>
  <si>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</si>
  <si>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</si>
  <si>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</si>
  <si>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</si>
  <si>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</si>
  <si>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</si>
  <si>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</si>
  <si>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</si>
  <si>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</si>
  <si>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</si>
  <si>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</si>
  <si>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</si>
  <si>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</si>
  <si>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</si>
  <si>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</si>
  <si>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</si>
  <si>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</si>
  <si>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</si>
  <si>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</si>
  <si>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</si>
  <si>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</si>
  <si>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</si>
  <si>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</si>
  <si>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</si>
  <si>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</si>
  <si>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</si>
  <si>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</si>
  <si>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</si>
  <si>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</si>
  <si>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</si>
  <si>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</si>
  <si>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</si>
  <si>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</si>
  <si>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</si>
  <si>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</si>
  <si>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</si>
  <si>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</si>
  <si>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</si>
  <si>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</si>
  <si>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</si>
  <si>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</si>
  <si>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</si>
  <si>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</si>
  <si>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</si>
  <si>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</si>
  <si>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</si>
  <si>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</si>
  <si>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</si>
  <si>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</si>
  <si>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</si>
  <si>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</si>
  <si>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</si>
  <si>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</si>
  <si>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</si>
  <si>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</si>
  <si>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</si>
  <si>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</si>
  <si>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</si>
  <si>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</si>
  <si>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</si>
  <si>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</si>
  <si>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</si>
  <si>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</si>
  <si>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</si>
  <si>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</si>
  <si>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</si>
  <si>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</si>
  <si>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</si>
  <si>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</si>
  <si>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</si>
  <si>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</si>
  <si>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</si>
  <si>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</si>
  <si>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</si>
  <si>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</si>
  <si>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</si>
  <si>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</si>
  <si>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</si>
  <si>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</si>
  <si>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</si>
  <si>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</si>
  <si>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</si>
  <si>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</si>
  <si>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</si>
  <si>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</si>
  <si>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</si>
  <si>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</si>
  <si>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</si>
  <si>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</si>
  <si>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</si>
  <si>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</si>
  <si>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</si>
  <si>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</si>
  <si>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</si>
  <si>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</si>
  <si>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</si>
  <si>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</si>
  <si>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</si>
  <si>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</si>
  <si>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</si>
  <si>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</si>
  <si>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</si>
  <si>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</si>
  <si>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</si>
  <si>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</si>
  <si>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</si>
  <si>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</si>
  <si>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</si>
  <si>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</si>
  <si>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</si>
  <si>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</si>
  <si>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</si>
  <si>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</si>
  <si>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</si>
  <si>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</si>
  <si>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</si>
  <si>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</si>
  <si>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</si>
  <si>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</si>
  <si>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</si>
  <si>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</si>
  <si>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</si>
  <si>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</si>
  <si>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</si>
  <si>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</si>
  <si>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</si>
  <si>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</si>
  <si>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</si>
  <si>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</si>
  <si>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</si>
  <si>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</si>
  <si>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</si>
  <si>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</si>
  <si>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</si>
  <si>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</si>
  <si>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</si>
  <si>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</si>
  <si>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</si>
  <si>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</si>
  <si>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</si>
  <si>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</si>
  <si>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</si>
  <si>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</si>
  <si>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</si>
  <si>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</si>
  <si>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</si>
  <si>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</si>
  <si>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</si>
  <si>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</si>
  <si>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</si>
  <si>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</si>
  <si>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</si>
  <si>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</si>
  <si>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</si>
  <si>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</si>
  <si>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</si>
  <si>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</si>
  <si>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</si>
  <si>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</si>
  <si>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</si>
  <si>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</si>
  <si>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</si>
  <si>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</si>
  <si>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</si>
  <si>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</si>
  <si>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</si>
  <si>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</si>
  <si>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</si>
  <si>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</si>
  <si>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</si>
  <si>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</si>
  <si>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</si>
  <si>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</si>
  <si>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</si>
  <si>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</si>
  <si>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</si>
  <si>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</si>
  <si>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</si>
  <si>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</si>
  <si>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</si>
  <si>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</si>
  <si>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</si>
  <si>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</si>
  <si>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</si>
  <si>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</si>
  <si>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</si>
  <si>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</si>
  <si>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</si>
  <si>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</si>
  <si>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</si>
  <si>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</si>
  <si>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</si>
  <si>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</si>
  <si>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</si>
  <si>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</si>
  <si>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</si>
  <si>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</si>
  <si>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</si>
  <si>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</si>
  <si>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</si>
  <si>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</si>
  <si>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</si>
  <si>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</si>
  <si>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</si>
  <si>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</si>
  <si>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</si>
  <si>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</si>
  <si>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</si>
  <si>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</si>
  <si>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</si>
  <si>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</si>
  <si>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</si>
  <si>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</si>
  <si>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</si>
  <si>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</si>
  <si>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</si>
  <si>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</si>
  <si>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</si>
  <si>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</si>
  <si>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</si>
  <si>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</si>
  <si>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</si>
  <si>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</si>
  <si>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</si>
  <si>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</si>
  <si>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</si>
  <si>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</si>
  <si>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</si>
  <si>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</si>
  <si>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</si>
  <si>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</si>
  <si>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</si>
  <si>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</si>
  <si>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</si>
  <si>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</si>
  <si>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</si>
  <si>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</si>
  <si>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</si>
  <si>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</si>
  <si>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</si>
  <si>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</si>
  <si>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</si>
  <si>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</si>
  <si>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</si>
  <si>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</si>
  <si>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</si>
  <si>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</si>
  <si>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</si>
  <si>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</si>
  <si>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</si>
  <si>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</si>
  <si>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</si>
  <si>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</si>
  <si>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</si>
  <si>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</si>
  <si>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</si>
  <si>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</si>
  <si>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</si>
  <si>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</si>
  <si>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</si>
  <si>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</si>
  <si>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</si>
  <si>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</si>
  <si>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</si>
  <si>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</si>
  <si>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</si>
  <si>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</si>
  <si>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</si>
  <si>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</si>
  <si>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</si>
  <si>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</si>
  <si>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</si>
  <si>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</si>
  <si>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</si>
  <si>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</si>
  <si>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</si>
  <si>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</si>
  <si>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</si>
  <si>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</si>
  <si>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</si>
  <si>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</si>
  <si>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</si>
  <si>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</si>
  <si>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</si>
  <si>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</si>
  <si>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</si>
  <si>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</si>
  <si>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</si>
  <si>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</si>
  <si>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</si>
  <si>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</si>
  <si>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</si>
  <si>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</si>
  <si>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</si>
  <si>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</si>
  <si>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</si>
  <si>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</si>
  <si>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</si>
  <si>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</si>
  <si>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</si>
  <si>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</si>
  <si>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</si>
  <si>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</si>
  <si>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</si>
  <si>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</si>
  <si>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</si>
  <si>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</si>
  <si>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</si>
  <si>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</si>
  <si>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</si>
  <si>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</si>
  <si>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</si>
  <si>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</si>
  <si>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</si>
  <si>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</si>
  <si>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</si>
  <si>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</si>
  <si>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</si>
  <si>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</si>
  <si>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</si>
  <si>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</si>
  <si>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</si>
  <si>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</si>
  <si>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</si>
  <si>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</si>
  <si>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</si>
  <si>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</si>
  <si>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</si>
  <si>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</si>
  <si>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</si>
  <si>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</si>
  <si>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</si>
  <si>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</si>
  <si>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</si>
  <si>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</si>
  <si>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</si>
  <si>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</si>
  <si>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</si>
  <si>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</si>
  <si>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</si>
  <si>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</si>
  <si>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</si>
  <si>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</si>
  <si>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</si>
  <si>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</si>
  <si>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</si>
  <si>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</si>
  <si>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</si>
  <si>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</si>
  <si>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</si>
  <si>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</si>
  <si>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</si>
  <si>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</si>
  <si>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</si>
  <si>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</si>
  <si>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</si>
  <si>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</si>
  <si>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</si>
  <si>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</si>
  <si>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</si>
  <si>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</si>
  <si>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</si>
  <si>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</si>
  <si>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</si>
  <si>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</si>
  <si>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</si>
  <si>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</si>
  <si>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</si>
  <si>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</si>
  <si>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</si>
  <si>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</si>
  <si>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</si>
  <si>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</si>
  <si>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</si>
  <si>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</si>
  <si>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</si>
  <si>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</si>
  <si>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</si>
  <si>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</si>
  <si>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</si>
  <si>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</si>
  <si>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</si>
  <si>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</si>
  <si>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</si>
  <si>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</si>
  <si>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</si>
  <si>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</si>
  <si>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</si>
  <si>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</si>
  <si>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</si>
  <si>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</si>
  <si>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</si>
  <si>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</si>
  <si>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</si>
  <si>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</si>
  <si>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</si>
  <si>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</si>
  <si>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</si>
  <si>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</si>
  <si>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</si>
  <si>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</si>
  <si>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</si>
  <si>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</si>
  <si>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</si>
  <si>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</si>
  <si>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</si>
  <si>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</si>
  <si>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</si>
  <si>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</si>
  <si>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</si>
  <si>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</si>
  <si>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</si>
  <si>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</si>
  <si>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</si>
  <si>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</si>
  <si>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</si>
  <si>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</si>
  <si>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</si>
  <si>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</si>
  <si>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</si>
  <si>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</si>
  <si>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</si>
  <si>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</si>
  <si>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</si>
  <si>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</si>
  <si>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</si>
  <si>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</si>
  <si>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</si>
  <si>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</si>
  <si>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</si>
  <si>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</si>
  <si>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</si>
  <si>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</si>
  <si>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</si>
  <si>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</si>
  <si>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</si>
  <si>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</si>
  <si>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</si>
  <si>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</si>
  <si>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</si>
  <si>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</si>
  <si>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</si>
  <si>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</si>
  <si>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</si>
  <si>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</si>
  <si>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</si>
  <si>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</si>
  <si>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</si>
  <si>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</si>
  <si>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</si>
  <si>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</si>
  <si>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</si>
  <si>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</si>
  <si>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</si>
  <si>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</si>
  <si>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</si>
  <si>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</si>
  <si>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</si>
  <si>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</si>
  <si>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</si>
  <si>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</si>
  <si>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</si>
  <si>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</si>
  <si>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</si>
  <si>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</si>
  <si>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</si>
  <si>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</si>
  <si>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</si>
  <si>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</si>
  <si>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</si>
  <si>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</si>
  <si>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</si>
  <si>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</si>
  <si>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</si>
  <si>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</si>
  <si>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</si>
  <si>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</si>
  <si>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</si>
  <si>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</si>
  <si>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</si>
  <si>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</si>
  <si>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</si>
  <si>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</si>
  <si>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</si>
  <si>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</si>
  <si>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</si>
  <si>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</si>
  <si>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</si>
  <si>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</si>
  <si>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</si>
  <si>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</si>
  <si>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</si>
  <si>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</si>
  <si>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</si>
  <si>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</si>
  <si>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</si>
  <si>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</si>
  <si>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</si>
  <si>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</si>
  <si>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</si>
  <si>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</si>
  <si>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</si>
  <si>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</si>
  <si>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</si>
  <si>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</si>
  <si>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</si>
  <si>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</si>
  <si>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</si>
  <si>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</si>
  <si>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</si>
  <si>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</si>
  <si>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</si>
  <si>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</si>
  <si>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</si>
  <si>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</si>
  <si>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</si>
  <si>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</si>
  <si>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</si>
  <si>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</si>
  <si>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</si>
  <si>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</si>
  <si>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</si>
  <si>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</si>
  <si>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</si>
  <si>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</si>
  <si>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</si>
  <si>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</si>
  <si>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</si>
  <si>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</si>
  <si>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</si>
  <si>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</si>
  <si>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</si>
  <si>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</si>
  <si>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</si>
  <si>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</si>
  <si>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</si>
  <si>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</si>
  <si>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</si>
  <si>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</si>
  <si>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</si>
  <si>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</si>
  <si>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</si>
  <si>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</si>
  <si>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</si>
  <si>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</si>
  <si>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</si>
  <si>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</si>
  <si>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</si>
  <si>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</si>
  <si>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</si>
  <si>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</si>
  <si>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</si>
  <si>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</si>
  <si>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</si>
  <si>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</si>
  <si>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</si>
  <si>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</si>
  <si>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</si>
  <si>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</si>
  <si>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</si>
  <si>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</si>
  <si>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</si>
  <si>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</si>
  <si>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</si>
  <si>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</si>
  <si>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</si>
  <si>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</si>
  <si>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</si>
  <si>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</si>
  <si>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</si>
  <si>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</si>
  <si>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</si>
  <si>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</si>
  <si>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</si>
  <si>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</si>
  <si>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</si>
  <si>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</si>
  <si>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</si>
  <si>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</si>
  <si>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</si>
  <si>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</si>
  <si>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</si>
  <si>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</si>
  <si>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</si>
  <si>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</si>
  <si>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</si>
  <si>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</si>
  <si>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</si>
  <si>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</si>
  <si>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</si>
  <si>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</si>
  <si>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</si>
  <si>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</si>
  <si>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</si>
  <si>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</si>
  <si>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</si>
  <si>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</si>
  <si>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</si>
  <si>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</si>
  <si>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</si>
  <si>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</si>
  <si>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</si>
  <si>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</si>
  <si>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</si>
  <si>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</si>
  <si>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</si>
  <si>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</si>
  <si>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</si>
  <si>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</si>
  <si>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</si>
  <si>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</si>
  <si>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</si>
  <si>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</si>
  <si>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</si>
  <si>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</si>
  <si>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</si>
  <si>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</si>
  <si>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</si>
  <si>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</si>
  <si>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</si>
  <si>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</si>
  <si>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</si>
  <si>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</si>
  <si>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</si>
  <si>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</si>
  <si>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</si>
  <si>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</si>
  <si>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</si>
  <si>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</si>
  <si>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</si>
  <si>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</si>
  <si>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</si>
  <si>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</si>
  <si>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</si>
  <si>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</si>
  <si>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</si>
  <si>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</si>
  <si>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</si>
  <si>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</si>
  <si>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</si>
  <si>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</si>
  <si>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</si>
  <si>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</si>
  <si>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</si>
  <si>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</si>
  <si>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</si>
  <si>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</si>
  <si>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</si>
  <si>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</si>
  <si>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</si>
  <si>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</si>
  <si>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</si>
  <si>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</si>
  <si>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</si>
  <si>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</si>
  <si>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</si>
  <si>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</si>
  <si>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</si>
  <si>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</si>
  <si>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</si>
  <si>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</si>
  <si>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</si>
  <si>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</si>
  <si>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</si>
  <si>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</si>
  <si>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</si>
  <si>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</si>
  <si>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</si>
  <si>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</si>
  <si>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</si>
  <si>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</si>
  <si>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</si>
  <si>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</si>
  <si>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</si>
  <si>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</si>
  <si>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</si>
  <si>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</si>
  <si>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</si>
  <si>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</si>
  <si>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</si>
  <si>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</si>
  <si>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</si>
  <si>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</si>
  <si>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</si>
  <si>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</si>
  <si>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</si>
  <si>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</si>
  <si>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</si>
  <si>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</si>
  <si>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</si>
  <si>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</si>
  <si>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</si>
  <si>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</si>
  <si>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</si>
  <si>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</si>
  <si>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</si>
  <si>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</si>
  <si>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</si>
  <si>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</si>
  <si>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</si>
  <si>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</si>
  <si>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</si>
  <si>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</si>
  <si>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</si>
  <si>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</si>
  <si>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</si>
  <si>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</si>
  <si>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</si>
  <si>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</si>
  <si>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</si>
  <si>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</si>
  <si>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</si>
  <si>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</si>
  <si>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</si>
  <si>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</si>
  <si>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</si>
  <si>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</si>
  <si>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</si>
  <si>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</si>
  <si>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</si>
  <si>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</si>
  <si>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</si>
  <si>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</si>
  <si>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</si>
  <si>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</si>
  <si>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</si>
  <si>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</si>
  <si>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</si>
  <si>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</si>
  <si>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</si>
  <si>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</si>
  <si>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</si>
  <si>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</si>
  <si>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</si>
  <si>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</si>
  <si>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</si>
  <si>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</si>
  <si>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</si>
  <si>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</si>
  <si>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</si>
  <si>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</si>
  <si>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</si>
  <si>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</si>
  <si>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</si>
  <si>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</si>
  <si>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</si>
  <si>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</si>
  <si>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</si>
  <si>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</si>
  <si>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</si>
  <si>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</si>
  <si>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</si>
  <si>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</si>
  <si>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</si>
  <si>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</si>
  <si>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</si>
  <si>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</si>
  <si>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</si>
  <si>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</si>
  <si>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</si>
  <si>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</si>
  <si>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</si>
  <si>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</si>
  <si>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</si>
  <si>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</si>
  <si>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</si>
  <si>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</si>
  <si>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</si>
  <si>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</si>
  <si>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</si>
  <si>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</si>
  <si>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</si>
  <si>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</si>
  <si>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</si>
  <si>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</si>
  <si>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</si>
  <si>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</si>
  <si>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</si>
  <si>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</si>
  <si>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</si>
  <si>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</si>
  <si>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</si>
  <si>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</si>
  <si>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</si>
  <si>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</si>
  <si>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</si>
  <si>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</si>
  <si>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</si>
  <si>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</si>
  <si>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</si>
  <si>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</si>
  <si>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</si>
  <si>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</si>
  <si>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</si>
  <si>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</si>
  <si>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</si>
  <si>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</si>
  <si>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</si>
  <si>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</si>
  <si>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</si>
  <si>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</si>
  <si>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</si>
  <si>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</si>
  <si>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</si>
  <si>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</si>
  <si>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</si>
  <si>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</si>
  <si>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</si>
  <si>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</si>
  <si>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</si>
  <si>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</si>
  <si>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</si>
  <si>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</si>
  <si>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</si>
  <si>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</si>
  <si>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</si>
  <si>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</si>
  <si>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</si>
  <si>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</si>
  <si>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</si>
  <si>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</si>
  <si>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</si>
  <si>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</si>
  <si>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</si>
  <si>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</si>
  <si>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</si>
  <si>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</si>
  <si>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</si>
  <si>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</si>
  <si>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</si>
  <si>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</si>
  <si>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</si>
  <si>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</si>
  <si>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</si>
  <si>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</si>
  <si>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</si>
  <si>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</si>
  <si>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</si>
  <si>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</si>
  <si>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</si>
  <si>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</si>
  <si>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</si>
  <si>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</si>
  <si>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</si>
  <si>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</si>
  <si>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</si>
  <si>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</si>
  <si>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</si>
  <si>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</si>
  <si>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</si>
  <si>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</si>
  <si>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</si>
  <si>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</si>
  <si>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</si>
  <si>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</si>
  <si>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</si>
  <si>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</si>
  <si>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</si>
  <si>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</si>
  <si>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</si>
  <si>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</si>
  <si>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</si>
  <si>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</si>
  <si>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</si>
  <si>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</si>
  <si>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</si>
  <si>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</si>
  <si>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</si>
  <si>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</si>
  <si>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</si>
  <si>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</si>
  <si>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</si>
  <si>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</si>
  <si>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</si>
  <si>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</si>
  <si>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</si>
  <si>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</si>
  <si>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</si>
  <si>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</si>
  <si>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</si>
  <si>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</si>
  <si>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</si>
  <si>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</si>
  <si>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</si>
  <si>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</si>
  <si>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</si>
  <si>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</si>
  <si>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</si>
  <si>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</si>
  <si>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</si>
  <si>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</si>
  <si>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</si>
  <si>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</si>
  <si>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</si>
  <si>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</si>
  <si>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</si>
  <si>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</si>
  <si>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</si>
  <si>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</si>
  <si>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</si>
  <si>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</si>
  <si>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</si>
  <si>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</si>
  <si>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</si>
  <si>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</si>
  <si>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</si>
  <si>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</si>
  <si>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</si>
  <si>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</si>
  <si>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</si>
  <si>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</si>
  <si>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</si>
  <si>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</si>
  <si>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</si>
  <si>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</si>
  <si>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</si>
  <si>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</si>
  <si>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</si>
  <si>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</si>
  <si>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</si>
  <si>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</si>
  <si>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</si>
  <si>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</si>
  <si>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</si>
  <si>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</si>
  <si>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</si>
  <si>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</si>
  <si>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</si>
  <si>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</si>
  <si>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</si>
  <si>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</si>
  <si>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</si>
  <si>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</si>
  <si>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</si>
  <si>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</si>
  <si>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</si>
  <si>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</si>
  <si>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</si>
  <si>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</si>
  <si>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</si>
  <si>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</si>
  <si>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</si>
  <si>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</si>
  <si>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</si>
  <si>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</si>
  <si>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</si>
  <si>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</si>
  <si>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</si>
  <si>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</si>
  <si>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</si>
  <si>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</si>
  <si>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</si>
  <si>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</si>
  <si>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</si>
  <si>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</si>
  <si>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</si>
  <si>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</si>
  <si>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</si>
  <si>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</si>
  <si>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</si>
  <si>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</si>
  <si>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</si>
  <si>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</si>
  <si>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</si>
  <si>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</si>
  <si>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</si>
  <si>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</si>
  <si>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</si>
  <si>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</si>
  <si>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</si>
  <si>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</si>
  <si>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</si>
  <si>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</si>
  <si>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</si>
  <si>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</si>
  <si>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</si>
  <si>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</si>
  <si>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</si>
  <si>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</si>
  <si>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</si>
  <si>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</si>
  <si>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</si>
  <si>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</si>
  <si>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</si>
  <si>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</si>
  <si>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</si>
  <si>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</si>
  <si>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</si>
  <si>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</si>
  <si>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</si>
  <si>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</si>
  <si>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</si>
  <si>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</si>
  <si>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</si>
  <si>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</si>
  <si>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</si>
  <si>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</si>
  <si>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</si>
  <si>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</si>
  <si>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</si>
  <si>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</si>
  <si>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</si>
  <si>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</si>
  <si>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</si>
  <si>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</si>
  <si>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</si>
  <si>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</si>
  <si>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</si>
  <si>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</si>
  <si>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</si>
  <si>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</si>
  <si>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</si>
  <si>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</si>
  <si>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</si>
  <si>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</si>
  <si>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</si>
  <si>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</si>
  <si>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</si>
  <si>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</si>
  <si>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</si>
  <si>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</si>
  <si>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</si>
  <si>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</si>
  <si>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</si>
  <si>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</si>
  <si>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</si>
  <si>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</si>
  <si>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</si>
  <si>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</si>
  <si>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</si>
  <si>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</si>
  <si>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</si>
  <si>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</si>
  <si>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</si>
  <si>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</si>
  <si>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</si>
  <si>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</si>
  <si>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</si>
  <si>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</si>
  <si>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</si>
  <si>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</si>
  <si>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</si>
  <si>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</si>
  <si>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</si>
  <si>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</si>
  <si>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</si>
  <si>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</si>
  <si>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</si>
  <si>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</si>
  <si>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</si>
  <si>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</si>
  <si>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</si>
  <si>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</si>
  <si>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</si>
  <si>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</si>
  <si>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</si>
  <si>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</si>
  <si>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</si>
  <si>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</si>
  <si>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</si>
  <si>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</si>
  <si>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</si>
  <si>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</si>
  <si>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</si>
  <si>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</si>
  <si>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</si>
  <si>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</si>
  <si>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</si>
  <si>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</si>
  <si>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</si>
  <si>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</si>
  <si>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</si>
  <si>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</si>
  <si>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</si>
  <si>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</si>
  <si>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</si>
  <si>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</si>
  <si>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</si>
  <si>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</si>
  <si>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</si>
  <si>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</si>
  <si>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</si>
  <si>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</si>
  <si>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</si>
  <si>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</si>
  <si>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</si>
  <si>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</si>
  <si>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</si>
  <si>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</si>
  <si>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</si>
  <si>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</si>
  <si>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</si>
  <si>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</si>
  <si>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</si>
  <si>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</si>
  <si>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</si>
  <si>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</si>
  <si>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</si>
  <si>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</si>
  <si>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</si>
  <si>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</si>
  <si>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</si>
  <si>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</si>
  <si>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</si>
  <si>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</si>
  <si>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</si>
  <si>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</si>
  <si>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</si>
  <si>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</si>
  <si>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</si>
  <si>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</si>
  <si>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</si>
  <si>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</si>
  <si>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</si>
  <si>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</si>
  <si>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</si>
  <si>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</si>
  <si>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</si>
  <si>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</si>
  <si>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</si>
  <si>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</si>
  <si>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</si>
  <si>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</si>
  <si>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</si>
  <si>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</si>
  <si>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</si>
  <si>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</si>
  <si>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</si>
  <si>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</si>
  <si>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</si>
  <si>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</si>
  <si>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</si>
  <si>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</si>
  <si>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</si>
  <si>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</si>
  <si>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</si>
  <si>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</si>
  <si>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</si>
  <si>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</si>
  <si>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</si>
  <si>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</si>
  <si>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</si>
  <si>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</si>
  <si>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</si>
  <si>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</si>
  <si>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</si>
  <si>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</si>
  <si>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</si>
  <si>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</si>
  <si>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</si>
  <si>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</si>
  <si>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</si>
  <si>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</si>
  <si>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</si>
  <si>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</si>
  <si>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</si>
  <si>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</si>
  <si>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</si>
  <si>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</si>
  <si>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</si>
  <si>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</si>
  <si>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</si>
  <si>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</si>
  <si>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</si>
  <si>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</si>
  <si>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</si>
  <si>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</si>
  <si>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</si>
  <si>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</si>
  <si>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</si>
  <si>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</si>
  <si>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</si>
  <si>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</si>
  <si>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</si>
  <si>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</si>
  <si>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</si>
  <si>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</si>
  <si>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</si>
  <si>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</si>
  <si>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</si>
  <si>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</si>
  <si>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</si>
  <si>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</si>
  <si>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</si>
  <si>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</si>
  <si>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</si>
  <si>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</si>
  <si>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</si>
  <si>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</si>
  <si>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</si>
  <si>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</si>
  <si>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</si>
  <si>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</si>
  <si>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</si>
  <si>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</si>
  <si>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</si>
  <si>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</si>
  <si>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</si>
  <si>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</si>
  <si>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</si>
  <si>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</si>
  <si>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</si>
  <si>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</si>
  <si>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</si>
  <si>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</si>
  <si>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</si>
  <si>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</si>
  <si>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</si>
  <si>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</si>
  <si>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</si>
  <si>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</si>
  <si>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</si>
  <si>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</si>
  <si>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</si>
  <si>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</si>
  <si>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</si>
  <si>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</si>
  <si>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</si>
  <si>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</si>
  <si>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</si>
  <si>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</si>
  <si>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</si>
  <si>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</si>
  <si>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</si>
  <si>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</si>
  <si>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</si>
  <si>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</si>
  <si>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</si>
  <si>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</si>
  <si>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</si>
  <si>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</si>
  <si>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</si>
  <si>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</si>
  <si>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</si>
  <si>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</si>
  <si>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</si>
  <si>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</si>
  <si>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</si>
  <si>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</si>
  <si>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</si>
  <si>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</si>
  <si>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</si>
  <si>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</si>
  <si>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</si>
  <si>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</si>
  <si>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</si>
  <si>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</si>
  <si>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</si>
  <si>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</si>
  <si>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</si>
  <si>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</si>
  <si>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</si>
  <si>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</si>
  <si>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</si>
  <si>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</si>
  <si>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</si>
  <si>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</si>
  <si>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</si>
  <si>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</si>
  <si>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</si>
  <si>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</si>
  <si>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</si>
  <si>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</si>
  <si>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</si>
  <si>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</si>
  <si>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</si>
  <si>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</si>
  <si>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</si>
  <si>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</si>
  <si>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</si>
  <si>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</si>
  <si>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</si>
  <si>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</si>
  <si>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</si>
  <si>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</si>
  <si>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</si>
  <si>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</si>
  <si>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</si>
  <si>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</si>
  <si>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</si>
  <si>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</si>
  <si>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</si>
  <si>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</si>
  <si>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</si>
  <si>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</si>
  <si>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</si>
  <si>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</si>
  <si>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</si>
  <si>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</si>
  <si>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</si>
  <si>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</si>
  <si>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</si>
  <si>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</si>
  <si>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</si>
  <si>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</si>
  <si>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</si>
  <si>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</si>
  <si>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</si>
  <si>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</si>
  <si>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</si>
  <si>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</si>
  <si>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</si>
  <si>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</si>
  <si>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</si>
  <si>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</si>
  <si>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</si>
  <si>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</si>
  <si>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</si>
  <si>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</si>
  <si>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</si>
  <si>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</si>
  <si>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</si>
  <si>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</si>
  <si>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</si>
  <si>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</si>
  <si>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</si>
  <si>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</si>
  <si>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</si>
  <si>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</si>
  <si>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</si>
  <si>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</si>
  <si>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</si>
  <si>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</si>
  <si>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</si>
  <si>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</si>
  <si>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</si>
  <si>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</si>
  <si>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</si>
  <si>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</si>
  <si>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</si>
  <si>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</si>
  <si>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</si>
  <si>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</si>
  <si>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</si>
  <si>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</si>
  <si>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</si>
  <si>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</si>
  <si>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</si>
  <si>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</si>
  <si>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</si>
  <si>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</si>
  <si>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</si>
  <si>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</si>
  <si>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</si>
  <si>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</si>
  <si>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</si>
  <si>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</si>
  <si>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</si>
  <si>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</si>
  <si>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</si>
  <si>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</si>
  <si>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</si>
  <si>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</si>
  <si>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</si>
  <si>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</si>
  <si>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</si>
  <si>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</si>
  <si>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</si>
  <si>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</si>
  <si>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</si>
  <si>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</si>
  <si>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</si>
  <si>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</si>
  <si>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</si>
  <si>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</si>
  <si>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</si>
  <si>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</si>
  <si>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</si>
  <si>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</si>
  <si>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</si>
  <si>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</si>
  <si>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</si>
  <si>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</si>
  <si>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</si>
  <si>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</si>
  <si>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</si>
  <si>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</si>
  <si>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</si>
  <si>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</si>
  <si>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</si>
  <si>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</si>
  <si>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</si>
  <si>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</si>
  <si>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</si>
  <si>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</si>
  <si>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</si>
  <si>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</si>
  <si>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</si>
  <si>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</si>
  <si>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</si>
  <si>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</si>
  <si>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</si>
  <si>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</si>
  <si>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</si>
  <si>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</si>
  <si>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</si>
  <si>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</si>
  <si>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</si>
  <si>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</si>
  <si>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</si>
  <si>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</si>
  <si>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</si>
  <si>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</si>
  <si>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</si>
  <si>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</si>
  <si>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</si>
  <si>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</si>
  <si>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</si>
  <si>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</si>
  <si>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</si>
  <si>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</si>
  <si>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</si>
  <si>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</si>
  <si>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</si>
  <si>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</si>
  <si>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</si>
  <si>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</si>
  <si>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</si>
  <si>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</si>
  <si>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</si>
  <si>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</si>
  <si>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</si>
  <si>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</si>
  <si>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</si>
  <si>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</si>
  <si>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</si>
  <si>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</si>
  <si>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</si>
  <si>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</si>
  <si>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</si>
  <si>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</si>
  <si>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</si>
  <si>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</si>
  <si>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</si>
  <si>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</si>
  <si>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</si>
  <si>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</si>
  <si>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</si>
  <si>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</si>
  <si>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</si>
  <si>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</si>
  <si>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</si>
  <si>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</si>
  <si>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</si>
  <si>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</si>
  <si>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</si>
  <si>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</si>
  <si>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</si>
  <si>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</si>
  <si>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</si>
  <si>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</si>
  <si>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</si>
  <si>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</si>
  <si>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</si>
  <si>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</si>
  <si>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</si>
  <si>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</si>
  <si>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</si>
  <si>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</si>
  <si>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</si>
  <si>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</si>
  <si>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</si>
  <si>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</si>
  <si>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</si>
  <si>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</si>
  <si>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</si>
  <si>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</si>
  <si>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</si>
  <si>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</si>
  <si>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</si>
  <si>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</si>
  <si>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</si>
  <si>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</si>
  <si>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</si>
  <si>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</si>
  <si>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</si>
  <si>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</si>
  <si>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</si>
  <si>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</si>
  <si>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</si>
  <si>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</si>
  <si>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</si>
  <si>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</si>
  <si>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</si>
  <si>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</si>
  <si>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</si>
  <si>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</si>
  <si>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</si>
  <si>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</si>
  <si>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</si>
  <si>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</si>
  <si>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</si>
  <si>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</si>
  <si>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</si>
  <si>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</si>
  <si>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</si>
  <si>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</si>
  <si>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</si>
  <si>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</si>
  <si>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</si>
  <si>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</si>
  <si>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</si>
  <si>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</si>
  <si>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</si>
  <si>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</si>
  <si>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</si>
  <si>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</si>
  <si>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</si>
  <si>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</si>
  <si>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</si>
  <si>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</si>
  <si>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</si>
  <si>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</si>
  <si>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</si>
  <si>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</si>
  <si>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</si>
  <si>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</si>
  <si>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</si>
  <si>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</si>
  <si>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</si>
  <si>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</si>
  <si>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</si>
  <si>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</si>
  <si>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</si>
  <si>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</si>
  <si>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</si>
  <si>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</si>
  <si>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</si>
  <si>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</si>
  <si>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</si>
  <si>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</si>
  <si>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</si>
  <si>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</si>
  <si>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</si>
  <si>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</si>
  <si>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</si>
  <si>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</si>
  <si>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</si>
  <si>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</si>
  <si>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</si>
  <si>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</si>
  <si>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</si>
  <si>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</si>
  <si>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</si>
  <si>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</si>
  <si>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</si>
  <si>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</si>
  <si>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</si>
  <si>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</si>
  <si>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</si>
  <si>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</si>
  <si>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</si>
  <si>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</si>
  <si>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</si>
  <si>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</si>
  <si>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</si>
  <si>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</si>
  <si>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</si>
  <si>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</si>
  <si>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</si>
  <si>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</si>
  <si>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</si>
  <si>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</si>
  <si>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</si>
  <si>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</si>
  <si>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</si>
  <si>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</si>
  <si>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</si>
  <si>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</si>
  <si>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</si>
  <si>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</si>
  <si>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</si>
  <si>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</si>
  <si>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</si>
  <si>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</si>
  <si>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</si>
  <si>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</si>
  <si>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</si>
  <si>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</si>
  <si>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</si>
  <si>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</si>
  <si>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</si>
  <si>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</si>
  <si>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</si>
  <si>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</si>
  <si>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</si>
  <si>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</si>
  <si>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</si>
  <si>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</si>
  <si>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</si>
  <si>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</si>
  <si>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</si>
  <si>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</si>
  <si>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</si>
  <si>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</si>
  <si>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</si>
  <si>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</si>
  <si>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</si>
  <si>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</si>
  <si>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</si>
  <si>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</si>
  <si>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</si>
  <si>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</si>
  <si>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</si>
  <si>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</si>
  <si>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</si>
  <si>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</si>
  <si>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</si>
  <si>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</si>
  <si>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</si>
  <si>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</si>
  <si>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</si>
  <si>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</si>
  <si>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</si>
  <si>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</si>
  <si>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</si>
  <si>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</si>
  <si>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</si>
  <si>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</si>
  <si>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</si>
  <si>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</si>
  <si>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</si>
  <si>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</si>
  <si>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</si>
  <si>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</si>
  <si>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</si>
  <si>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</si>
  <si>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</si>
  <si>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</si>
  <si>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</si>
  <si>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</si>
  <si>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</si>
  <si>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</si>
  <si>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</si>
  <si>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</si>
  <si>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</si>
  <si>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</si>
  <si>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</si>
  <si>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</si>
  <si>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</si>
  <si>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</si>
  <si>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</si>
  <si>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</si>
  <si>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</si>
  <si>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</si>
  <si>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</si>
  <si>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</si>
  <si>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</si>
  <si>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</si>
  <si>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</si>
  <si>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</si>
  <si>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</si>
  <si>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</si>
  <si>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</si>
  <si>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</si>
  <si>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</si>
  <si>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</si>
  <si>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</si>
  <si>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</si>
  <si>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</si>
  <si>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</si>
  <si>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</si>
  <si>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</si>
  <si>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</si>
  <si>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</si>
  <si>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</si>
  <si>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</si>
  <si>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</si>
  <si>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</si>
  <si>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</si>
  <si>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</si>
  <si>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</si>
  <si>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</si>
  <si>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</si>
  <si>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</si>
  <si>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</si>
  <si>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</si>
  <si>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</si>
  <si>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</si>
  <si>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</si>
  <si>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</si>
  <si>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</si>
  <si>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</si>
  <si>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</si>
  <si>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</si>
  <si>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</si>
  <si>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</si>
  <si>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</si>
  <si>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</si>
  <si>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</si>
  <si>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</si>
  <si>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</si>
  <si>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</si>
  <si>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</si>
  <si>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</si>
  <si>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</si>
  <si>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</si>
  <si>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</si>
  <si>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</si>
  <si>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</si>
  <si>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</si>
  <si>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</si>
  <si>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</si>
  <si>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</si>
  <si>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</si>
  <si>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</si>
  <si>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</si>
  <si>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</si>
  <si>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</si>
  <si>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</si>
  <si>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</si>
  <si>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</si>
  <si>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</si>
  <si>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</si>
  <si>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</si>
  <si>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</si>
  <si>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</si>
  <si>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</si>
  <si>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</si>
  <si>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</si>
  <si>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</si>
  <si>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</si>
  <si>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</si>
  <si>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</si>
  <si>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</si>
  <si>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</si>
  <si>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</si>
  <si>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</si>
  <si>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</si>
  <si>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</si>
  <si>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</si>
  <si>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</si>
  <si>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</si>
  <si>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</si>
  <si>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</si>
  <si>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</si>
  <si>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</si>
  <si>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</si>
  <si>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</si>
  <si>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</si>
  <si>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</si>
  <si>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</si>
  <si>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</si>
  <si>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</si>
  <si>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</si>
  <si>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</si>
  <si>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</si>
  <si>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</si>
  <si>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</si>
  <si>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</si>
  <si>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</si>
  <si>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</si>
  <si>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</si>
  <si>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</si>
  <si>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</si>
  <si>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</si>
  <si>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</si>
  <si>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</si>
  <si>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</si>
  <si>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</si>
  <si>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</si>
  <si>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</si>
  <si>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</si>
  <si>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</si>
  <si>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</si>
  <si>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</si>
  <si>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</si>
  <si>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</si>
  <si>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</si>
  <si>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</si>
  <si>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</si>
  <si>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</si>
  <si>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</si>
  <si>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</si>
  <si>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</si>
  <si>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</si>
  <si>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</si>
  <si>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</si>
  <si>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</si>
  <si>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</si>
  <si>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</si>
  <si>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</si>
  <si>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</si>
  <si>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</si>
  <si>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</si>
  <si>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</si>
  <si>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</si>
  <si>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</si>
  <si>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</si>
  <si>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</si>
  <si>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</si>
  <si>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</si>
  <si>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</si>
  <si>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</si>
  <si>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</si>
  <si>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</si>
  <si>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</si>
  <si>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</si>
  <si>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</si>
  <si>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</si>
  <si>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</si>
  <si>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</si>
  <si>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</si>
  <si>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</si>
  <si>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</si>
  <si>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</si>
  <si>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</si>
  <si>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</si>
  <si>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</si>
  <si>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</si>
  <si>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</si>
  <si>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</si>
  <si>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</si>
  <si>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</si>
  <si>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</si>
  <si>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</si>
  <si>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</si>
  <si>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</si>
  <si>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</si>
  <si>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</si>
  <si>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</si>
  <si>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</si>
  <si>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</si>
  <si>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</si>
  <si>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</si>
  <si>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</si>
  <si>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</si>
  <si>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</si>
  <si>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</si>
  <si>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</si>
  <si>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</si>
  <si>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</si>
  <si>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</si>
  <si>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</si>
  <si>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</si>
  <si>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</si>
  <si>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</si>
  <si>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</si>
  <si>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</si>
  <si>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</si>
  <si>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</si>
  <si>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</si>
  <si>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</si>
  <si>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</si>
  <si>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</si>
  <si>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</si>
  <si>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</si>
  <si>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</si>
  <si>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</si>
  <si>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</si>
  <si>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</si>
  <si>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</si>
  <si>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</si>
  <si>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</si>
  <si>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</si>
  <si>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</si>
  <si>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</si>
  <si>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</si>
  <si>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</si>
  <si>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</si>
  <si>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</si>
  <si>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</si>
  <si>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</si>
  <si>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</si>
  <si>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</si>
  <si>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</si>
  <si>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</si>
  <si>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</si>
  <si>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</si>
  <si>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</si>
  <si>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</si>
  <si>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</si>
  <si>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</si>
  <si>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</si>
  <si>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</si>
  <si>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</si>
  <si>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</si>
  <si>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</si>
  <si>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</si>
  <si>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</si>
  <si>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</si>
  <si>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</si>
  <si>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</si>
  <si>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</si>
  <si>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</si>
  <si>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</si>
  <si>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</si>
  <si>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</si>
  <si>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</si>
  <si>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</si>
  <si>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</si>
  <si>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</si>
  <si>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</si>
  <si>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</si>
  <si>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</si>
  <si>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</si>
  <si>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</si>
  <si>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</si>
  <si>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</si>
  <si>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</si>
  <si>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</si>
  <si>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</si>
  <si>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</si>
  <si>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</si>
  <si>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</si>
  <si>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</si>
  <si>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</si>
  <si>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</si>
  <si>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</si>
  <si>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</si>
  <si>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</si>
  <si>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</si>
  <si>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</si>
  <si>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</si>
  <si>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</si>
  <si>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</si>
  <si>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</si>
  <si>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</si>
  <si>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</si>
  <si>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</si>
  <si>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</si>
  <si>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</si>
  <si>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</si>
  <si>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</si>
  <si>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</si>
  <si>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</si>
  <si>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</si>
  <si>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</si>
  <si>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</si>
  <si>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</si>
  <si>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</si>
  <si>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</si>
  <si>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</si>
  <si>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</si>
  <si>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</si>
  <si>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</si>
  <si>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</si>
  <si>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</si>
  <si>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</si>
  <si>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</si>
  <si>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</si>
  <si>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</si>
  <si>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</si>
  <si>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</si>
  <si>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</si>
  <si>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</si>
  <si>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</si>
  <si>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</si>
  <si>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</si>
  <si>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</si>
  <si>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</si>
  <si>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</si>
  <si>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</si>
  <si>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</si>
  <si>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</si>
  <si>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</si>
  <si>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</si>
  <si>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</si>
  <si>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</si>
  <si>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</si>
  <si>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</si>
  <si>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</si>
  <si>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</si>
  <si>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</si>
  <si>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</si>
  <si>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</si>
  <si>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</si>
  <si>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</si>
  <si>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</si>
  <si>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</si>
  <si>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</si>
  <si>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</si>
  <si>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</si>
  <si>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</si>
  <si>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</si>
  <si>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</si>
  <si>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</si>
  <si>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</si>
  <si>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</si>
  <si>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</si>
  <si>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</si>
  <si>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</si>
  <si>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</si>
  <si>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</si>
  <si>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</si>
  <si>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</si>
  <si>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</si>
  <si>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</si>
  <si>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</si>
  <si>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</si>
  <si>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</si>
  <si>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</si>
  <si>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</si>
  <si>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</si>
  <si>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</si>
  <si>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</si>
  <si>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</si>
  <si>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</si>
  <si>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</si>
  <si>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</si>
  <si>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</si>
  <si>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</si>
  <si>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</si>
  <si>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</si>
  <si>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</si>
  <si>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</si>
  <si>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</si>
  <si>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</si>
  <si>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</si>
  <si>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</si>
  <si>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</si>
  <si>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</si>
  <si>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</si>
  <si>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</si>
  <si>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</si>
  <si>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</si>
  <si>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</si>
  <si>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</si>
  <si>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</si>
  <si>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</si>
  <si>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</si>
  <si>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</si>
  <si>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</si>
  <si>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</si>
  <si>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</si>
  <si>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</si>
  <si>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</si>
  <si>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</si>
  <si>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</si>
  <si>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</si>
  <si>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</si>
  <si>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</si>
  <si>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</si>
  <si>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</si>
  <si>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</si>
  <si>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</si>
  <si>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</si>
  <si>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</si>
  <si>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</si>
  <si>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</si>
  <si>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</si>
  <si>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</si>
  <si>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</si>
  <si>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</si>
  <si>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</si>
  <si>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</si>
  <si>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</si>
  <si>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</si>
  <si>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</si>
  <si>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</si>
  <si>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</si>
  <si>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</si>
  <si>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</si>
  <si>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</si>
  <si>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</si>
  <si>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</si>
  <si>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</si>
  <si>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</si>
  <si>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</si>
  <si>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</si>
  <si>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</si>
  <si>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</si>
  <si>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</si>
  <si>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</si>
  <si>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</si>
  <si>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</si>
  <si>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</si>
  <si>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</si>
  <si>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</si>
  <si>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</si>
  <si>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</si>
  <si>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</si>
  <si>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</si>
  <si>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</si>
  <si>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</si>
  <si>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</si>
  <si>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</si>
  <si>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</si>
  <si>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</si>
  <si>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</si>
  <si>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</si>
  <si>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</si>
  <si>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</si>
  <si>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</si>
  <si>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</si>
  <si>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</si>
  <si>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</si>
  <si>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</si>
  <si>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</si>
  <si>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</si>
  <si>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</si>
  <si>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</si>
  <si>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</si>
  <si>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</si>
  <si>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</si>
  <si>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</si>
  <si>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</si>
  <si>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</si>
  <si>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</si>
  <si>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</si>
  <si>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</si>
  <si>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</si>
  <si>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</si>
  <si>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</si>
  <si>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</si>
  <si>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</si>
  <si>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</si>
  <si>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</si>
  <si>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</si>
  <si>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</si>
  <si>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</si>
  <si>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</si>
  <si>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</si>
  <si>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</si>
  <si>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</si>
  <si>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</si>
  <si>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</si>
  <si>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</si>
  <si>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</si>
  <si>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</si>
  <si>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</si>
  <si>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</si>
  <si>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</si>
  <si>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</si>
  <si>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</si>
  <si>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</si>
  <si>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</si>
  <si>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</si>
  <si>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</si>
  <si>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</si>
  <si>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</si>
  <si>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</si>
  <si>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</si>
  <si>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</si>
  <si>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</si>
  <si>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</si>
  <si>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</si>
  <si>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</si>
  <si>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</si>
  <si>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</si>
  <si>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</si>
  <si>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</si>
  <si>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</si>
  <si>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</si>
  <si>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</si>
  <si>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</si>
  <si>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</si>
  <si>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</si>
  <si>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</si>
  <si>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</si>
  <si>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</si>
  <si>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</si>
  <si>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</si>
  <si>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</si>
  <si>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</si>
  <si>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</si>
  <si>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</si>
  <si>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</si>
  <si>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</si>
  <si>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</si>
  <si>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</si>
  <si>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</si>
  <si>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</si>
  <si>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</si>
  <si>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</si>
  <si>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</si>
  <si>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</si>
  <si>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</si>
  <si>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</si>
  <si>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</si>
  <si>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</si>
  <si>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</si>
  <si>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</si>
  <si>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</si>
  <si>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</si>
  <si>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</si>
  <si>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</si>
  <si>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</si>
  <si>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</si>
  <si>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</si>
  <si>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</si>
  <si>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</si>
  <si>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</si>
  <si>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</si>
  <si>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</si>
  <si>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</si>
  <si>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</si>
  <si>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</si>
  <si>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</si>
  <si>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</si>
  <si>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</si>
  <si>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</si>
  <si>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</si>
  <si>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</si>
  <si>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</si>
  <si>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</si>
  <si>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</si>
  <si>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</si>
  <si>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</si>
  <si>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</si>
  <si>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</si>
  <si>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</si>
  <si>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</si>
  <si>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</si>
  <si>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</si>
  <si>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</si>
  <si>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</si>
  <si>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</si>
  <si>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</si>
  <si>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</si>
  <si>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</si>
  <si>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</si>
  <si>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</si>
  <si>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</si>
  <si>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</si>
  <si>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</si>
  <si>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</si>
  <si>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</si>
  <si>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</si>
  <si>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</si>
  <si>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</si>
  <si>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</si>
  <si>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</si>
  <si>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</si>
  <si>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</si>
  <si>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</si>
  <si>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</si>
  <si>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</si>
  <si>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</si>
  <si>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</si>
  <si>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</si>
  <si>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</si>
  <si>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</si>
  <si>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</si>
  <si>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</si>
  <si>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</si>
  <si>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</si>
  <si>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</si>
  <si>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</si>
  <si>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</si>
  <si>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</si>
  <si>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</si>
  <si>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</si>
  <si>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</si>
  <si>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</si>
  <si>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</si>
  <si>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</si>
  <si>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</si>
  <si>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</si>
  <si>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</si>
  <si>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</si>
  <si>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</si>
  <si>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</si>
  <si>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</si>
  <si>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</si>
  <si>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</si>
  <si>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</si>
  <si>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</si>
  <si>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</si>
  <si>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</si>
  <si>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</si>
  <si>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</si>
  <si>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</si>
  <si>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</si>
  <si>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</si>
  <si>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</si>
  <si>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</si>
  <si>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</si>
  <si>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</si>
  <si>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</si>
  <si>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</si>
  <si>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</si>
  <si>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</si>
  <si>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</si>
  <si>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</si>
  <si>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</si>
  <si>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</si>
  <si>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</si>
  <si>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</si>
  <si>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</si>
  <si>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</si>
  <si>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</si>
  <si>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</si>
  <si>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</si>
  <si>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</si>
  <si>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</si>
  <si>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</si>
  <si>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</si>
  <si>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</si>
  <si>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</si>
  <si>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</si>
  <si>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</si>
  <si>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</si>
  <si>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</si>
  <si>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</si>
  <si>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</si>
  <si>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</si>
  <si>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</si>
  <si>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</si>
  <si>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</si>
  <si>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</si>
  <si>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</si>
  <si>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</si>
  <si>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</si>
  <si>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</si>
  <si>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</si>
  <si>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</si>
  <si>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</si>
  <si>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</si>
  <si>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</si>
  <si>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</si>
  <si>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</si>
  <si>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</si>
  <si>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</si>
  <si>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</si>
  <si>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</si>
  <si>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</si>
  <si>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</si>
  <si>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</si>
  <si>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</si>
  <si>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</si>
  <si>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</si>
  <si>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</si>
  <si>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</si>
  <si>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</si>
  <si>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</si>
  <si>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</si>
  <si>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</si>
  <si>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</si>
  <si>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</si>
  <si>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</si>
  <si>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</si>
  <si>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</si>
  <si>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</si>
  <si>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</si>
  <si>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</si>
  <si>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</si>
  <si>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</si>
  <si>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</si>
  <si>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</si>
  <si>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</si>
  <si>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</si>
  <si>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</si>
  <si>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</si>
  <si>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</si>
  <si>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</si>
  <si>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</si>
  <si>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</si>
  <si>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</si>
  <si>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</si>
  <si>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</si>
  <si>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</si>
  <si>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</si>
  <si>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</si>
  <si>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</si>
  <si>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</si>
  <si>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</si>
  <si>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</si>
  <si>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</si>
  <si>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</si>
  <si>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</si>
  <si>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</si>
  <si>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</si>
  <si>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</si>
  <si>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</si>
  <si>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</si>
  <si>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</si>
  <si>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</si>
  <si>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</si>
  <si>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</si>
  <si>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</si>
  <si>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</si>
  <si>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</si>
  <si>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</si>
  <si>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</si>
  <si>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</si>
  <si>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</si>
  <si>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</si>
  <si>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</si>
  <si>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</si>
  <si>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</si>
  <si>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</si>
  <si>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</si>
  <si>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</si>
  <si>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</si>
  <si>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</si>
  <si>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</si>
  <si>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</si>
  <si>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</si>
  <si>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</si>
  <si>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</si>
  <si>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</si>
  <si>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</si>
  <si>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</si>
  <si>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</si>
  <si>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</si>
  <si>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</si>
  <si>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</si>
  <si>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</si>
  <si>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</si>
  <si>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</si>
  <si>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</si>
  <si>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</si>
  <si>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</si>
  <si>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</si>
  <si>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</si>
  <si>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</si>
  <si>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</si>
  <si>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</si>
  <si>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</si>
  <si>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</si>
  <si>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</si>
  <si>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</si>
  <si>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</si>
  <si>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</si>
  <si>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</si>
  <si>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</si>
  <si>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</si>
  <si>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</si>
  <si>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</si>
  <si>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</si>
  <si>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</si>
  <si>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</si>
  <si>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</si>
  <si>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</si>
  <si>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</si>
  <si>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</si>
  <si>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</si>
  <si>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</si>
  <si>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</si>
  <si>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</si>
  <si>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</si>
  <si>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</si>
  <si>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</si>
  <si>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</si>
  <si>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</si>
  <si>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</si>
  <si>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</si>
  <si>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</si>
  <si>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</si>
  <si>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</si>
  <si>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</si>
  <si>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</si>
  <si>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</si>
  <si>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</si>
  <si>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</si>
  <si>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</si>
  <si>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</si>
  <si>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</si>
  <si>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</si>
  <si>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</si>
  <si>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</si>
  <si>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</si>
  <si>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</si>
  <si>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</si>
  <si>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</si>
  <si>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</si>
  <si>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</si>
  <si>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</si>
  <si>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</si>
  <si>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</si>
  <si>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</si>
  <si>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</si>
  <si>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</si>
  <si>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</si>
  <si>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</si>
  <si>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</si>
  <si>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</si>
  <si>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</si>
  <si>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</si>
  <si>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</si>
  <si>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</si>
  <si>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</si>
  <si>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</si>
  <si>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</si>
  <si>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</si>
  <si>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</si>
  <si>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</si>
  <si>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</si>
  <si>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</si>
  <si>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</si>
  <si>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</si>
  <si>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</si>
  <si>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</si>
  <si>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</si>
  <si>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</si>
  <si>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</si>
  <si>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</si>
  <si>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</si>
  <si>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</si>
  <si>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</si>
  <si>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</si>
  <si>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</si>
  <si>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</si>
  <si>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</si>
  <si>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</si>
  <si>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</si>
  <si>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</si>
  <si>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</si>
  <si>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</si>
  <si>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</si>
  <si>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</si>
  <si>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</si>
  <si>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</si>
  <si>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</si>
  <si>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</si>
  <si>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</si>
  <si>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</si>
  <si>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</si>
  <si>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</si>
  <si>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</si>
  <si>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</si>
  <si>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</si>
  <si>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</si>
  <si>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</si>
  <si>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</si>
  <si>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</si>
  <si>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</si>
  <si>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</si>
  <si>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</si>
  <si>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</si>
  <si>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</si>
  <si>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</si>
  <si>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</si>
  <si>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</si>
  <si>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</si>
  <si>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</si>
  <si>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</si>
  <si>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</si>
  <si>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</si>
  <si>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</si>
  <si>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</si>
  <si>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</si>
  <si>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</si>
  <si>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</si>
  <si>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</si>
  <si>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</si>
  <si>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</si>
  <si>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</si>
  <si>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</si>
  <si>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</si>
  <si>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</si>
  <si>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</si>
  <si>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</si>
  <si>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</si>
  <si>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</si>
  <si>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</si>
  <si>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</si>
  <si>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</si>
  <si>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</si>
  <si>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</si>
  <si>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</si>
  <si>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</si>
  <si>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</si>
  <si>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</si>
  <si>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</si>
  <si>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</si>
  <si>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</si>
  <si>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</si>
  <si>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</si>
  <si>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</si>
  <si>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</si>
  <si>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</si>
  <si>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</si>
  <si>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</si>
  <si>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</si>
  <si>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</si>
  <si>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</si>
  <si>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</si>
  <si>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</si>
  <si>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</si>
  <si>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</si>
  <si>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</si>
  <si>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</si>
  <si>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</si>
  <si>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</si>
  <si>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</si>
  <si>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</si>
  <si>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</si>
  <si>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</si>
  <si>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</si>
  <si>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</si>
  <si>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</si>
  <si>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</si>
  <si>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</si>
  <si>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</si>
  <si>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</si>
  <si>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</si>
  <si>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</si>
  <si>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</si>
  <si>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</si>
  <si>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</si>
  <si>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</si>
  <si>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</si>
  <si>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</si>
  <si>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</si>
  <si>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</si>
  <si>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</si>
  <si>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</si>
  <si>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</si>
  <si>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</si>
  <si>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</si>
  <si>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</si>
  <si>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</si>
  <si>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</si>
  <si>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</si>
  <si>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</si>
  <si>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</si>
  <si>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</si>
  <si>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</si>
  <si>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</si>
  <si>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</si>
  <si>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</si>
  <si>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</si>
  <si>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</si>
  <si>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</si>
  <si>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</si>
  <si>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</si>
  <si>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</si>
  <si>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</si>
  <si>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</si>
  <si>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</si>
  <si>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</si>
  <si>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</si>
  <si>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</si>
  <si>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</si>
  <si>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</si>
  <si>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</si>
  <si>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</si>
  <si>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</si>
  <si>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</si>
  <si>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</si>
  <si>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</si>
  <si>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</si>
  <si>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</si>
  <si>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</si>
  <si>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</si>
  <si>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</si>
  <si>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</si>
  <si>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</si>
  <si>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</si>
  <si>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</si>
  <si>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</si>
  <si>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</si>
  <si>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</si>
  <si>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</si>
  <si>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</si>
  <si>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</si>
  <si>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</si>
  <si>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</si>
  <si>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</si>
  <si>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</si>
  <si>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</si>
  <si>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</si>
  <si>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</si>
  <si>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</si>
  <si>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</si>
  <si>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</si>
  <si>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</si>
  <si>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</si>
  <si>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</si>
  <si>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</si>
  <si>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</si>
  <si>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</si>
  <si>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</si>
  <si>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</si>
  <si>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</si>
  <si>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</si>
  <si>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</si>
  <si>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</si>
  <si>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</si>
  <si>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</si>
  <si>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</si>
  <si>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</si>
  <si>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</si>
  <si>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</si>
  <si>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</si>
  <si>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</si>
  <si>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</si>
  <si>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</si>
  <si>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</si>
  <si>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</si>
  <si>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</si>
  <si>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</si>
  <si>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</si>
  <si>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</si>
  <si>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</si>
  <si>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</si>
  <si>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</si>
  <si>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</si>
  <si>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</si>
  <si>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</si>
  <si>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</si>
  <si>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</si>
  <si>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</si>
  <si>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</si>
  <si>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</si>
  <si>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</si>
  <si>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</si>
  <si>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</si>
  <si>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</si>
  <si>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</si>
  <si>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</si>
  <si>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</si>
  <si>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</si>
  <si>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</si>
  <si>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</si>
  <si>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</si>
  <si>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</si>
  <si>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</si>
  <si>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</si>
  <si>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</si>
  <si>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</si>
  <si>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</si>
  <si>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</si>
  <si>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</si>
  <si>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</si>
  <si>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</si>
  <si>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</si>
  <si>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</si>
  <si>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</si>
  <si>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</si>
  <si>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</si>
  <si>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</si>
  <si>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</si>
  <si>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</si>
  <si>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</si>
  <si>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</si>
  <si>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</si>
  <si>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</si>
  <si>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</si>
  <si>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</si>
  <si>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</si>
  <si>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</si>
  <si>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</si>
  <si>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</si>
  <si>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</si>
  <si>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</si>
  <si>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</si>
  <si>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</si>
  <si>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</si>
  <si>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</si>
  <si>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</si>
  <si>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</si>
  <si>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</si>
  <si>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</si>
  <si>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</si>
  <si>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</si>
  <si>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</si>
  <si>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</si>
  <si>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</si>
  <si>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</si>
  <si>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</si>
  <si>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</si>
  <si>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</si>
  <si>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</si>
  <si>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</si>
  <si>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</si>
  <si>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</si>
  <si>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</si>
  <si>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</si>
  <si>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</si>
  <si>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</si>
  <si>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</si>
  <si>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</si>
  <si>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</si>
  <si>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</si>
  <si>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</si>
  <si>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</si>
  <si>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</si>
  <si>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</si>
  <si>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</si>
  <si>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</si>
  <si>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</si>
  <si>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</si>
  <si>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</si>
  <si>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</si>
  <si>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</si>
  <si>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</si>
  <si>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</si>
  <si>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</si>
  <si>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</si>
  <si>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</si>
  <si>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</si>
  <si>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</si>
  <si>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</si>
  <si>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</si>
  <si>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</si>
  <si>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</si>
  <si>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</si>
  <si>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</si>
  <si>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</si>
  <si>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</si>
  <si>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</si>
  <si>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</si>
  <si>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</si>
  <si>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</si>
  <si>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</si>
  <si>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</si>
  <si>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</si>
  <si>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</si>
  <si>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</si>
  <si>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</si>
  <si>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</si>
  <si>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</si>
  <si>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</si>
  <si>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</si>
  <si>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</si>
  <si>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</si>
  <si>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</si>
  <si>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</si>
  <si>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</si>
  <si>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</si>
  <si>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</si>
  <si>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</si>
  <si>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</si>
  <si>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</si>
  <si>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</si>
  <si>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</si>
  <si>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</si>
  <si>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</si>
  <si>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</si>
  <si>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</si>
  <si>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</si>
  <si>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</si>
  <si>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</si>
  <si>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</si>
  <si>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</si>
  <si>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</si>
  <si>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</si>
  <si>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</si>
  <si>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</si>
  <si>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</si>
  <si>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</si>
  <si>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</si>
  <si>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</si>
  <si>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</si>
  <si>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</si>
  <si>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</si>
  <si>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</si>
  <si>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</si>
  <si>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</si>
  <si>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</si>
  <si>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</si>
  <si>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</si>
  <si>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</si>
  <si>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</si>
  <si>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</si>
  <si>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</si>
  <si>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</si>
  <si>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</si>
  <si>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</si>
  <si>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</si>
  <si>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</si>
  <si>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</si>
  <si>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</si>
  <si>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</si>
  <si>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</si>
  <si>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</si>
  <si>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</si>
  <si>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</si>
  <si>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</si>
  <si>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</si>
  <si>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</si>
  <si>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</si>
  <si>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</si>
  <si>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</si>
  <si>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</si>
  <si>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</si>
  <si>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</si>
  <si>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</si>
  <si>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</si>
  <si>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</si>
  <si>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</si>
  <si>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</si>
  <si>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</si>
  <si>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</si>
  <si>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</si>
  <si>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</si>
  <si>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</si>
  <si>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</si>
  <si>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</si>
  <si>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</si>
  <si>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</si>
  <si>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</si>
  <si>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</si>
  <si>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</si>
  <si>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</si>
  <si>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</si>
  <si>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</si>
  <si>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</si>
  <si>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</si>
  <si>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</si>
  <si>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</si>
  <si>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</si>
  <si>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</si>
  <si>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</si>
  <si>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</si>
  <si>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</si>
  <si>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</si>
  <si>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</si>
  <si>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</si>
  <si>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</si>
  <si>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</si>
  <si>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</si>
  <si>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</si>
  <si>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</si>
  <si>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</si>
  <si>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</si>
  <si>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</si>
  <si>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</si>
  <si>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</si>
  <si>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</si>
  <si>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</si>
  <si>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</si>
  <si>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</si>
  <si>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</si>
  <si>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</si>
  <si>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</si>
  <si>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</si>
  <si>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</si>
  <si>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</si>
  <si>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</si>
  <si>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</si>
  <si>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</si>
  <si>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</si>
  <si>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</si>
  <si>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</si>
  <si>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</si>
  <si>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</si>
  <si>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</si>
  <si>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</si>
  <si>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</si>
  <si>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</si>
  <si>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</si>
  <si>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</si>
  <si>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</si>
  <si>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</si>
  <si>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</si>
  <si>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</si>
  <si>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</si>
  <si>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</si>
  <si>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</si>
  <si>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</si>
  <si>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</si>
  <si>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</si>
  <si>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</si>
  <si>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</si>
  <si>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</si>
  <si>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</si>
  <si>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</si>
  <si>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</si>
  <si>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</si>
  <si>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</si>
  <si>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</si>
  <si>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</si>
  <si>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</si>
  <si>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</si>
  <si>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</si>
  <si>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</si>
  <si>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</si>
  <si>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</si>
  <si>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</si>
  <si>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</si>
  <si>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</si>
  <si>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</si>
  <si>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</si>
  <si>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</si>
  <si>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</si>
  <si>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</si>
  <si>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</si>
  <si>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</si>
  <si>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</si>
  <si>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</si>
  <si>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</si>
  <si>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</si>
  <si>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</si>
  <si>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</si>
  <si>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</si>
  <si>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</si>
  <si>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</si>
  <si>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</si>
  <si>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</si>
  <si>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</si>
  <si>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</si>
  <si>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</si>
  <si>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</si>
  <si>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</si>
  <si>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</si>
  <si>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</si>
  <si>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</si>
  <si>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</si>
  <si>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</si>
  <si>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</si>
  <si>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</si>
  <si>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</si>
  <si>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</si>
  <si>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</si>
  <si>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</si>
  <si>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</si>
  <si>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</si>
  <si>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</si>
  <si>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</si>
  <si>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</si>
  <si>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</si>
  <si>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</si>
  <si>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</si>
  <si>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</si>
  <si>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</si>
  <si>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</si>
  <si>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</si>
  <si>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</si>
  <si>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</si>
  <si>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</si>
  <si>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</si>
  <si>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</si>
  <si>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</si>
  <si>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</si>
  <si>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</si>
  <si>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</si>
  <si>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</si>
  <si>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</si>
  <si>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</si>
  <si>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</si>
  <si>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</si>
  <si>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</si>
  <si>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</si>
  <si>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</si>
  <si>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</si>
  <si>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</si>
  <si>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</si>
  <si>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</si>
  <si>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</si>
  <si>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</si>
  <si>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</si>
  <si>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</si>
  <si>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</si>
  <si>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</si>
  <si>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</si>
  <si>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</si>
  <si>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</si>
  <si>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</si>
  <si>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</si>
  <si>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</si>
  <si>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</si>
  <si>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</si>
  <si>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</si>
  <si>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</si>
  <si>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</si>
  <si>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</si>
  <si>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</si>
  <si>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</si>
  <si>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</si>
  <si>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</si>
  <si>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</si>
  <si>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</si>
  <si>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</si>
  <si>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</si>
  <si>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</si>
  <si>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</si>
  <si>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</si>
  <si>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</si>
  <si>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</si>
  <si>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</si>
  <si>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</si>
  <si>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</si>
  <si>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</si>
  <si>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</si>
  <si>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</si>
  <si>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</si>
  <si>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</si>
  <si>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</si>
  <si>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</si>
  <si>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</si>
  <si>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</si>
  <si>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</si>
  <si>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</si>
  <si>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</si>
  <si>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</si>
  <si>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</si>
  <si>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</si>
  <si>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</si>
  <si>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</si>
  <si>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</si>
  <si>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</si>
  <si>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</si>
  <si>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</si>
  <si>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</si>
  <si>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</si>
  <si>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</si>
  <si>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</si>
  <si>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</si>
  <si>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</si>
  <si>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</si>
  <si>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</si>
  <si>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</si>
  <si>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</si>
  <si>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</si>
  <si>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</si>
  <si>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</si>
  <si>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</si>
  <si>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</si>
  <si>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</si>
  <si>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</si>
  <si>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</si>
  <si>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</si>
  <si>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</si>
  <si>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</si>
  <si>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</si>
  <si>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</si>
  <si>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</si>
  <si>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</si>
  <si>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</si>
  <si>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</si>
  <si>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</si>
  <si>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</si>
  <si>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</si>
  <si>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</si>
  <si>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</si>
  <si>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</si>
  <si>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</si>
  <si>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</si>
  <si>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</si>
  <si>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</si>
  <si>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</si>
  <si>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</si>
  <si>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</si>
  <si>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</si>
  <si>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</si>
  <si>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</si>
  <si>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</si>
  <si>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</si>
  <si>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</si>
  <si>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</si>
  <si>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</si>
  <si>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</si>
  <si>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</si>
  <si>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</si>
  <si>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</si>
  <si>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</si>
  <si>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</si>
  <si>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</si>
  <si>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</si>
  <si>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</si>
  <si>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</si>
  <si>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</si>
  <si>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</si>
  <si>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</si>
  <si>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</si>
  <si>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</si>
  <si>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</si>
  <si>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</si>
  <si>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</si>
  <si>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</si>
  <si>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</si>
  <si>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</si>
  <si>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</si>
  <si>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</si>
  <si>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</si>
  <si>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</si>
  <si>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</si>
  <si>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</si>
  <si>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</si>
  <si>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</si>
  <si>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</si>
  <si>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</si>
  <si>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</si>
  <si>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</si>
  <si>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</si>
  <si>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</si>
  <si>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</si>
  <si>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</si>
  <si>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</si>
  <si>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</si>
  <si>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</si>
  <si>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</si>
  <si>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</si>
  <si>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</si>
  <si>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</si>
  <si>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</si>
  <si>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</si>
  <si>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</si>
  <si>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</si>
  <si>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</si>
  <si>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</si>
  <si>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</si>
  <si>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</si>
  <si>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</si>
  <si>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</si>
  <si>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</si>
  <si>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</si>
  <si>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</si>
  <si>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</si>
  <si>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</si>
  <si>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</si>
  <si>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</si>
  <si>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</si>
  <si>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</si>
  <si>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</si>
  <si>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</si>
  <si>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</si>
  <si>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</si>
  <si>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</si>
  <si>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</si>
  <si>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</si>
  <si>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</si>
  <si>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</si>
  <si>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</si>
  <si>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</si>
  <si>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</si>
  <si>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</si>
  <si>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</si>
  <si>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</si>
  <si>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</si>
  <si>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</si>
  <si>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</si>
  <si>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</si>
  <si>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</si>
  <si>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</si>
  <si>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</si>
  <si>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</si>
  <si>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</si>
  <si>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</si>
  <si>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</si>
  <si>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</si>
  <si>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</si>
  <si>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</si>
  <si>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</si>
  <si>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</si>
  <si>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</si>
  <si>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</si>
  <si>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</si>
  <si>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</si>
  <si>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</si>
  <si>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</si>
  <si>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</si>
  <si>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</si>
  <si>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</si>
  <si>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</si>
  <si>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</si>
  <si>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</si>
  <si>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</si>
  <si>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</si>
  <si>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</si>
  <si>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</si>
  <si>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</si>
  <si>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</si>
  <si>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</si>
  <si>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</si>
  <si>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</si>
  <si>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</si>
  <si>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</si>
  <si>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</si>
  <si>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</si>
  <si>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</si>
  <si>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</si>
  <si>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</si>
  <si>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</si>
  <si>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</si>
  <si>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</si>
  <si>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</si>
  <si>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</si>
  <si>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</si>
  <si>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</si>
  <si>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</si>
  <si>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</si>
  <si>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</si>
  <si>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</si>
  <si>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</si>
  <si>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</si>
  <si>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</si>
  <si>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</si>
  <si>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</si>
  <si>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</si>
  <si>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</si>
  <si>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</si>
  <si>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</si>
  <si>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</si>
  <si>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</si>
  <si>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</si>
  <si>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</si>
  <si>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</si>
  <si>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</si>
  <si>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</si>
  <si>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</si>
  <si>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</si>
  <si>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</si>
  <si>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</si>
  <si>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</si>
  <si>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</si>
  <si>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</si>
  <si>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</si>
  <si>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</si>
  <si>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</si>
  <si>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</si>
  <si>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</si>
  <si>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</si>
  <si>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</si>
  <si>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</si>
  <si>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</si>
  <si>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</si>
  <si>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</si>
  <si>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</si>
  <si>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</si>
  <si>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</si>
  <si>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</si>
  <si>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</si>
  <si>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</si>
  <si>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</si>
  <si>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</si>
  <si>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</si>
  <si>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</si>
  <si>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</si>
  <si>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</si>
  <si>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</si>
  <si>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</si>
  <si>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</si>
  <si>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</si>
  <si>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</si>
  <si>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</si>
  <si>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</si>
  <si>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</si>
  <si>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</si>
  <si>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</si>
  <si>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</si>
  <si>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</si>
  <si>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</si>
  <si>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</si>
  <si>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</si>
  <si>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</si>
  <si>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</si>
  <si>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</si>
  <si>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</si>
  <si>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</si>
  <si>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</si>
  <si>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</si>
  <si>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</si>
  <si>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</si>
  <si>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</si>
  <si>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</si>
  <si>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</si>
  <si>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</si>
  <si>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</si>
  <si>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</si>
  <si>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</si>
  <si>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</si>
  <si>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</si>
  <si>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</si>
  <si>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</si>
  <si>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</si>
  <si>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</si>
  <si>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</si>
  <si>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</si>
  <si>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</si>
  <si>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</si>
  <si>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</si>
  <si>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</si>
  <si>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</si>
  <si>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</si>
  <si>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</si>
  <si>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</si>
  <si>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</si>
  <si>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</si>
  <si>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</si>
  <si>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</si>
  <si>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</si>
  <si>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</si>
  <si>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</si>
  <si>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</si>
  <si>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</si>
  <si>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</si>
  <si>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</si>
  <si>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</si>
  <si>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</si>
  <si>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</si>
  <si>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</si>
  <si>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</si>
  <si>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</si>
  <si>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</si>
  <si>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</si>
  <si>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</si>
  <si>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</si>
  <si>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</si>
  <si>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</si>
  <si>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</si>
  <si>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</si>
  <si>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</si>
  <si>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</si>
  <si>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</si>
  <si>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</si>
  <si>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</si>
  <si>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</si>
  <si>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</si>
  <si>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</si>
  <si>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</si>
  <si>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</si>
  <si>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</si>
  <si>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</si>
  <si>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</si>
  <si>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</si>
  <si>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</si>
  <si>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</si>
  <si>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</si>
  <si>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</si>
  <si>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</si>
  <si>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</si>
  <si>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</si>
  <si>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</si>
  <si>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</si>
  <si>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</si>
  <si>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</si>
  <si>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</si>
  <si>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</si>
  <si>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</si>
  <si>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</si>
  <si>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</si>
  <si>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</si>
  <si>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</si>
  <si>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</si>
  <si>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</si>
  <si>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</si>
  <si>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</si>
  <si>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</si>
  <si>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</si>
  <si>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</si>
  <si>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</si>
  <si>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</si>
  <si>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</si>
  <si>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</si>
  <si>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</si>
  <si>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</si>
  <si>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</si>
  <si>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</si>
  <si>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</si>
  <si>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</si>
  <si>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</si>
  <si>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</si>
  <si>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</si>
  <si>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</si>
  <si>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</si>
  <si>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</si>
  <si>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</si>
  <si>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</si>
  <si>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</si>
  <si>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</si>
  <si>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</si>
  <si>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</si>
  <si>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</si>
  <si>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</si>
  <si>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</si>
  <si>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</si>
  <si>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</si>
  <si>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</si>
  <si>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</si>
  <si>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</si>
  <si>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</si>
  <si>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</si>
  <si>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</si>
  <si>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</si>
  <si>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</si>
  <si>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</si>
  <si>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</si>
  <si>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</si>
  <si>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</si>
  <si>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</si>
  <si>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</si>
  <si>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</si>
  <si>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</si>
  <si>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</si>
  <si>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</si>
  <si>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</si>
  <si>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</si>
  <si>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</si>
  <si>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</si>
  <si>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</si>
  <si>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</si>
  <si>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</si>
  <si>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</si>
  <si>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</si>
  <si>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</si>
  <si>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</si>
  <si>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</si>
  <si>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</si>
  <si>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</si>
  <si>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</si>
  <si>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</si>
  <si>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</si>
  <si>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</si>
  <si>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</si>
  <si>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</si>
  <si>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</si>
  <si>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</si>
  <si>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</si>
  <si>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</si>
  <si>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</si>
  <si>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</si>
  <si>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</si>
  <si>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</si>
  <si>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</si>
  <si>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</si>
  <si>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</si>
  <si>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</si>
  <si>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</si>
  <si>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</si>
  <si>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</si>
  <si>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</si>
  <si>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</si>
  <si>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</si>
  <si>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</si>
  <si>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</si>
  <si>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</si>
  <si>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</si>
  <si>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</si>
  <si>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</si>
  <si>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</si>
  <si>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</si>
  <si>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</si>
  <si>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</si>
  <si>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</si>
  <si>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</si>
  <si>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</si>
  <si>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</si>
  <si>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</si>
  <si>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</si>
  <si>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</si>
  <si>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</si>
  <si>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</si>
  <si>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</si>
  <si>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</si>
  <si>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</si>
  <si>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</si>
  <si>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</si>
  <si>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</si>
  <si>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</si>
  <si>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</si>
  <si>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</si>
  <si>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</si>
  <si>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</si>
  <si>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</si>
  <si>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</si>
  <si>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</si>
  <si>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</si>
  <si>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</si>
  <si>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</si>
  <si>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</si>
  <si>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</si>
  <si>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</si>
  <si>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</si>
  <si>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</si>
  <si>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</si>
  <si>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</si>
  <si>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</si>
  <si>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</si>
  <si>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</si>
  <si>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</si>
  <si>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</si>
  <si>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</si>
  <si>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</si>
  <si>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</si>
  <si>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</si>
  <si>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</si>
  <si>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</si>
  <si>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</si>
  <si>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</si>
  <si>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</si>
  <si>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</si>
  <si>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</si>
  <si>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</si>
  <si>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</si>
  <si>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</si>
  <si>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</si>
  <si>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</si>
  <si>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</si>
  <si>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</si>
  <si>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</si>
  <si>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</si>
  <si>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</si>
  <si>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</si>
  <si>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</si>
  <si>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</si>
  <si>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</si>
  <si>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</si>
  <si>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</si>
  <si>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</si>
  <si>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</si>
  <si>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</si>
  <si>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</si>
  <si>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</si>
  <si>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</si>
  <si>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</si>
  <si>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</si>
  <si>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</si>
  <si>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</si>
  <si>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</si>
  <si>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</si>
  <si>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</si>
  <si>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</si>
  <si>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</si>
  <si>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</si>
  <si>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</si>
  <si>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</si>
  <si>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</si>
  <si>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</si>
  <si>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</si>
  <si>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</si>
  <si>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</si>
  <si>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</si>
  <si>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</si>
  <si>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</si>
  <si>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</si>
  <si>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</si>
  <si>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</si>
  <si>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</si>
  <si>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</si>
  <si>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</si>
  <si>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</si>
  <si>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</si>
  <si>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</si>
  <si>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</si>
  <si>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</si>
  <si>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</si>
  <si>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</si>
  <si>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</si>
  <si>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</si>
  <si>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</si>
  <si>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</si>
  <si>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</si>
  <si>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</si>
  <si>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</si>
  <si>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</si>
  <si>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</si>
  <si>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</si>
  <si>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</si>
  <si>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</si>
  <si>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</si>
  <si>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</si>
  <si>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</si>
  <si>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</si>
  <si>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</si>
  <si>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</si>
  <si>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</si>
  <si>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</si>
  <si>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</si>
  <si>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</si>
  <si>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</si>
  <si>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</si>
  <si>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</si>
  <si>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</si>
  <si>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</si>
  <si>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</si>
  <si>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</si>
  <si>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</si>
  <si>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</si>
  <si>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</si>
  <si>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</si>
  <si>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</si>
  <si>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</si>
  <si>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</si>
  <si>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</si>
  <si>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</si>
  <si>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</si>
  <si>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</si>
  <si>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</si>
  <si>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</si>
  <si>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</si>
  <si>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</si>
  <si>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</si>
  <si>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</si>
  <si>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</si>
  <si>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</si>
  <si>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</si>
  <si>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</si>
  <si>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</si>
  <si>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</si>
  <si>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</si>
  <si>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</si>
  <si>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</si>
  <si>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</si>
  <si>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</si>
  <si>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</si>
  <si>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</si>
  <si>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</si>
  <si>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</si>
  <si>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</si>
  <si>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</si>
  <si>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</si>
  <si>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</si>
  <si>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</si>
  <si>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</si>
  <si>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</si>
  <si>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</si>
  <si>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</si>
  <si>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</si>
  <si>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</si>
  <si>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</si>
  <si>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</si>
  <si>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</si>
  <si>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</si>
  <si>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</si>
  <si>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</si>
  <si>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</si>
  <si>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</si>
  <si>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</si>
  <si>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</si>
  <si>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</si>
  <si>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</si>
  <si>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</si>
  <si>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</si>
  <si>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</si>
  <si>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</si>
  <si>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</si>
  <si>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</si>
  <si>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</si>
  <si>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</si>
  <si>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</si>
  <si>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</si>
  <si>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</si>
  <si>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</si>
  <si>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</si>
  <si>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</si>
  <si>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</si>
  <si>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</si>
  <si>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</si>
  <si>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</si>
  <si>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</si>
  <si>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</si>
  <si>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</si>
  <si>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</si>
  <si>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</si>
  <si>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</si>
  <si>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</si>
  <si>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</si>
  <si>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</si>
  <si>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</si>
  <si>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</si>
  <si>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</si>
  <si>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</si>
  <si>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</si>
  <si>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</si>
  <si>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</si>
  <si>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</si>
  <si>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</si>
  <si>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</si>
  <si>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</si>
  <si>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</si>
  <si>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</si>
  <si>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</si>
  <si>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</si>
  <si>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</si>
  <si>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</si>
  <si>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</si>
  <si>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</si>
  <si>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</si>
  <si>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</si>
  <si>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وغدیر 601 تا 168.1 (تشویقی)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</si>
  <si>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</si>
  <si>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</si>
  <si>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</si>
  <si>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</si>
  <si>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</si>
  <si>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</si>
  <si>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</si>
  <si>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</si>
  <si>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</si>
  <si>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</si>
  <si>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</si>
  <si>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</si>
  <si>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</si>
  <si>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</si>
  <si>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</si>
  <si>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</si>
  <si>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</si>
  <si>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</si>
  <si>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</si>
  <si>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</si>
  <si>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</si>
  <si>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</si>
  <si>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</si>
  <si>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</si>
  <si>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</si>
  <si>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</si>
  <si>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</si>
  <si>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</si>
  <si>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</si>
  <si>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</si>
  <si>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</si>
  <si>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تعداد 13 عدد سکه در بورس علی و 41 سکه در بورس مریم متعلق به صندوق نیست 27/11/97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</si>
  <si>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</si>
  <si>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</si>
  <si>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</si>
  <si>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</si>
  <si>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</si>
  <si>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</si>
  <si>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</si>
  <si>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</si>
  <si>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</si>
  <si>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</si>
  <si>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</si>
  <si>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</si>
  <si>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وغدیر 2601 تا 169</t>
  </si>
  <si>
    <t>پارس 107 تا 3095.9</t>
  </si>
  <si>
    <t>فروش 5 عدد سکه بورس مریم</t>
  </si>
  <si>
    <t>30/11/1397</t>
  </si>
  <si>
    <t>شاراک 17060 تا 489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</si>
  <si>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</si>
  <si>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</si>
  <si>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</si>
  <si>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</si>
  <si>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</si>
  <si>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</si>
  <si>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</si>
  <si>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</si>
  <si>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</si>
  <si>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</si>
  <si>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</si>
  <si>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</si>
  <si>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</si>
  <si>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</si>
  <si>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</si>
  <si>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بررسی بنیادی وبوعلی اعتلا ونیکی وصنا وبهمن سدبیر واعتبار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</si>
  <si>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</si>
  <si>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</si>
  <si>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</si>
  <si>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</si>
  <si>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</si>
  <si>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</si>
  <si>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</si>
  <si>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</si>
  <si>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</si>
  <si>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</si>
  <si>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</si>
  <si>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</si>
  <si>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</si>
  <si>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</si>
  <si>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</si>
  <si>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</si>
  <si>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</si>
  <si>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</si>
  <si>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</si>
  <si>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</si>
  <si>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</si>
  <si>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</si>
  <si>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</si>
  <si>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</si>
  <si>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</si>
  <si>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</si>
  <si>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</si>
  <si>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</si>
  <si>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</si>
  <si>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</si>
  <si>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</si>
  <si>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</si>
  <si>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</si>
  <si>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</si>
  <si>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</si>
  <si>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</si>
  <si>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زاگرس 2480 تا 5235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</si>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</sst>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164" fontId="0" fillId="0" borderId="5" xfId="0" applyNumberFormat="1" applyBorder="1"/>
    <xf numFmtId="0" fontId="0" fillId="0" borderId="5" xfId="0" applyBorder="1" applyAlignment="1">
      <alignment horizontal="center"/>
    </xf>
    <xf numFmtId="164" fontId="0" fillId="0" borderId="2" xfId="0" applyNumberFormat="1" applyFill="1" applyBorder="1"/>
    <xf numFmtId="0" fontId="0" fillId="36" borderId="1" xfId="0" applyFill="1" applyBorder="1" applyAlignment="1">
      <alignment horizontal="center"/>
    </xf>
    <xf numFmtId="0" fontId="0" fillId="32" borderId="1" xfId="0" applyFill="1" applyBorder="1" applyAlignment="1">
      <alignment horizontal="center" wrapText="1"/>
    </xf>
    <xf numFmtId="164" fontId="0" fillId="28" borderId="1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C45" sqref="C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722</v>
      </c>
      <c r="F2" s="99">
        <f t="shared" ref="F2:F49" si="0">IF(B2&gt;0,1,0)</f>
        <v>1</v>
      </c>
      <c r="G2" s="99">
        <f>B2*(E2-F2)</f>
        <v>36050000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716</v>
      </c>
      <c r="F3" s="99">
        <f t="shared" si="0"/>
        <v>1</v>
      </c>
      <c r="G3" s="99">
        <f t="shared" ref="G3:G50" si="2">B3*(E3-F3)</f>
        <v>10725000000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714</v>
      </c>
      <c r="F4" s="99">
        <f t="shared" si="0"/>
        <v>0</v>
      </c>
      <c r="G4" s="99">
        <f t="shared" si="2"/>
        <v>-2142000000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713</v>
      </c>
      <c r="F5" s="99">
        <f t="shared" si="0"/>
        <v>0</v>
      </c>
      <c r="G5" s="99">
        <f t="shared" si="2"/>
        <v>-2282241700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711</v>
      </c>
      <c r="F6" s="99">
        <f t="shared" si="0"/>
        <v>0</v>
      </c>
      <c r="G6" s="99">
        <f>B6*(E6-F6)</f>
        <v>-2133639900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709</v>
      </c>
      <c r="F7" s="99">
        <f t="shared" si="0"/>
        <v>0</v>
      </c>
      <c r="G7" s="99">
        <f t="shared" si="2"/>
        <v>-4116383100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687</v>
      </c>
      <c r="F8" s="99">
        <f t="shared" si="0"/>
        <v>1</v>
      </c>
      <c r="G8" s="99">
        <f t="shared" si="2"/>
        <v>37330062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415</v>
      </c>
      <c r="F9" s="99">
        <f t="shared" si="0"/>
        <v>0</v>
      </c>
      <c r="G9" s="99">
        <f>B9*(E9-F9)</f>
        <v>-33200000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350</v>
      </c>
      <c r="F10" s="99">
        <f t="shared" si="0"/>
        <v>1</v>
      </c>
      <c r="G10" s="99">
        <f t="shared" si="2"/>
        <v>296650000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336</v>
      </c>
      <c r="F11" s="99">
        <f t="shared" si="0"/>
        <v>0</v>
      </c>
      <c r="G11" s="99">
        <f t="shared" si="2"/>
        <v>-235200000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330</v>
      </c>
      <c r="F12" s="99">
        <f t="shared" si="0"/>
        <v>1</v>
      </c>
      <c r="G12" s="99">
        <f t="shared" si="2"/>
        <v>329000000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322</v>
      </c>
      <c r="F13" s="99">
        <f t="shared" si="0"/>
        <v>1</v>
      </c>
      <c r="G13" s="99">
        <f t="shared" si="2"/>
        <v>1559097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321</v>
      </c>
      <c r="F14" s="99">
        <f t="shared" si="0"/>
        <v>0</v>
      </c>
      <c r="G14" s="99">
        <f t="shared" si="2"/>
        <v>-61311000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306</v>
      </c>
      <c r="F15" s="99">
        <f t="shared" si="0"/>
        <v>0</v>
      </c>
      <c r="G15" s="99">
        <f t="shared" si="2"/>
        <v>-61200000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290</v>
      </c>
      <c r="F16" s="99">
        <f t="shared" si="0"/>
        <v>0</v>
      </c>
      <c r="G16" s="99">
        <f t="shared" si="2"/>
        <v>-201363240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283</v>
      </c>
      <c r="F17" s="99">
        <f t="shared" si="0"/>
        <v>1</v>
      </c>
      <c r="G17" s="99">
        <f t="shared" si="2"/>
        <v>14100000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260</v>
      </c>
      <c r="F18" s="99">
        <f t="shared" si="0"/>
        <v>1</v>
      </c>
      <c r="G18" s="99">
        <f t="shared" si="2"/>
        <v>271173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252</v>
      </c>
      <c r="F19" s="99">
        <f t="shared" si="0"/>
        <v>1</v>
      </c>
      <c r="G19" s="99">
        <f t="shared" si="2"/>
        <v>197160500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251</v>
      </c>
      <c r="F20" s="99">
        <f t="shared" si="0"/>
        <v>0</v>
      </c>
      <c r="G20" s="99">
        <f t="shared" si="2"/>
        <v>-14432500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251</v>
      </c>
      <c r="F21" s="99">
        <f t="shared" si="0"/>
        <v>1</v>
      </c>
      <c r="G21" s="99">
        <f t="shared" si="2"/>
        <v>1524750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241</v>
      </c>
      <c r="F22" s="99">
        <f t="shared" si="0"/>
        <v>0</v>
      </c>
      <c r="G22" s="99">
        <f t="shared" si="2"/>
        <v>-20485000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237</v>
      </c>
      <c r="F23" s="99">
        <f t="shared" si="0"/>
        <v>0</v>
      </c>
      <c r="G23" s="99">
        <f t="shared" si="2"/>
        <v>-42660000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237</v>
      </c>
      <c r="F24" s="99">
        <f t="shared" si="0"/>
        <v>0</v>
      </c>
      <c r="G24" s="99">
        <f t="shared" si="2"/>
        <v>-16353000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231</v>
      </c>
      <c r="F25" s="99">
        <f t="shared" si="0"/>
        <v>0</v>
      </c>
      <c r="G25" s="99">
        <f t="shared" si="2"/>
        <v>-1986600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231</v>
      </c>
      <c r="F26" s="99">
        <f t="shared" si="0"/>
        <v>0</v>
      </c>
      <c r="G26" s="99">
        <f t="shared" si="2"/>
        <v>-9240000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231</v>
      </c>
      <c r="F27" s="99">
        <f t="shared" si="0"/>
        <v>0</v>
      </c>
      <c r="G27" s="99">
        <f t="shared" si="2"/>
        <v>-21367500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231</v>
      </c>
      <c r="F28" s="99">
        <f t="shared" si="0"/>
        <v>0</v>
      </c>
      <c r="G28" s="99">
        <f t="shared" si="2"/>
        <v>-10857000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230</v>
      </c>
      <c r="F29" s="99">
        <f t="shared" si="0"/>
        <v>0</v>
      </c>
      <c r="G29" s="99">
        <f t="shared" si="2"/>
        <v>-17825000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230</v>
      </c>
      <c r="F30" s="99">
        <f t="shared" si="0"/>
        <v>0</v>
      </c>
      <c r="G30" s="99">
        <f t="shared" si="2"/>
        <v>-13110000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230</v>
      </c>
      <c r="F31" s="99">
        <f t="shared" si="0"/>
        <v>0</v>
      </c>
      <c r="G31" s="99">
        <f t="shared" si="2"/>
        <v>-10350000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230</v>
      </c>
      <c r="F32" s="99">
        <f t="shared" si="0"/>
        <v>0</v>
      </c>
      <c r="G32" s="99">
        <f t="shared" si="2"/>
        <v>-6900000</v>
      </c>
    </row>
    <row r="33" spans="1:12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227</v>
      </c>
      <c r="F33" s="99">
        <f t="shared" si="0"/>
        <v>1</v>
      </c>
      <c r="G33" s="99">
        <f t="shared" si="2"/>
        <v>226000000</v>
      </c>
    </row>
    <row r="34" spans="1:12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226</v>
      </c>
      <c r="F34" s="99">
        <f t="shared" si="0"/>
        <v>0</v>
      </c>
      <c r="G34" s="99">
        <f t="shared" si="2"/>
        <v>-18012200</v>
      </c>
    </row>
    <row r="35" spans="1:12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219</v>
      </c>
      <c r="F35" s="99">
        <f t="shared" si="0"/>
        <v>0</v>
      </c>
      <c r="G35" s="99">
        <f t="shared" si="2"/>
        <v>-259953</v>
      </c>
    </row>
    <row r="36" spans="1:12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214</v>
      </c>
      <c r="F36" s="99">
        <f t="shared" si="0"/>
        <v>0</v>
      </c>
      <c r="G36" s="99">
        <f t="shared" si="2"/>
        <v>-11826068</v>
      </c>
    </row>
    <row r="37" spans="1:12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213</v>
      </c>
      <c r="F37" s="99">
        <f t="shared" si="0"/>
        <v>0</v>
      </c>
      <c r="G37" s="99">
        <f t="shared" si="2"/>
        <v>-3344100</v>
      </c>
    </row>
    <row r="38" spans="1:12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206</v>
      </c>
      <c r="F38" s="99">
        <f t="shared" si="0"/>
        <v>0</v>
      </c>
      <c r="G38" s="99">
        <f t="shared" si="2"/>
        <v>-36256000</v>
      </c>
    </row>
    <row r="39" spans="1:12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205</v>
      </c>
      <c r="F39" s="99">
        <f t="shared" si="0"/>
        <v>0</v>
      </c>
      <c r="G39" s="99">
        <f t="shared" si="2"/>
        <v>-14063000</v>
      </c>
    </row>
    <row r="40" spans="1:12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198</v>
      </c>
      <c r="F40" s="99">
        <f t="shared" si="0"/>
        <v>0</v>
      </c>
      <c r="G40" s="99">
        <f t="shared" si="2"/>
        <v>-700920</v>
      </c>
      <c r="J40" t="s">
        <v>25</v>
      </c>
    </row>
    <row r="41" spans="1:12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0" si="5">E42+D41</f>
        <v>194</v>
      </c>
      <c r="F41" s="99">
        <f t="shared" si="0"/>
        <v>0</v>
      </c>
      <c r="G41" s="99">
        <f t="shared" si="2"/>
        <v>-61129594</v>
      </c>
    </row>
    <row r="42" spans="1:12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192</v>
      </c>
      <c r="F42" s="99">
        <f t="shared" si="0"/>
        <v>0</v>
      </c>
      <c r="G42" s="99">
        <f t="shared" si="2"/>
        <v>-79872000</v>
      </c>
    </row>
    <row r="43" spans="1:12">
      <c r="A43" s="99" t="s">
        <v>4584</v>
      </c>
      <c r="B43" s="113">
        <v>100000</v>
      </c>
      <c r="C43" s="99" t="s">
        <v>3891</v>
      </c>
      <c r="D43" s="99">
        <v>58</v>
      </c>
      <c r="E43" s="99">
        <f t="shared" si="5"/>
        <v>59</v>
      </c>
      <c r="F43" s="99">
        <f t="shared" si="0"/>
        <v>1</v>
      </c>
      <c r="G43" s="99">
        <f t="shared" si="2"/>
        <v>5800000</v>
      </c>
    </row>
    <row r="44" spans="1:12">
      <c r="A44" s="99" t="s">
        <v>4839</v>
      </c>
      <c r="B44" s="113">
        <v>-31000</v>
      </c>
      <c r="C44" s="99" t="s">
        <v>4852</v>
      </c>
      <c r="D44" s="99">
        <v>1</v>
      </c>
      <c r="E44" s="99">
        <f>E48+D44</f>
        <v>1</v>
      </c>
      <c r="F44" s="99">
        <f t="shared" si="0"/>
        <v>0</v>
      </c>
      <c r="G44" s="99">
        <f t="shared" si="2"/>
        <v>-31000</v>
      </c>
    </row>
    <row r="45" spans="1:12">
      <c r="A45" s="99"/>
      <c r="B45" s="113"/>
      <c r="C45" s="99"/>
      <c r="D45" s="99"/>
      <c r="E45" s="99"/>
      <c r="F45" s="99"/>
      <c r="G45" s="99"/>
    </row>
    <row r="46" spans="1:12">
      <c r="A46" s="99"/>
      <c r="B46" s="113"/>
      <c r="C46" s="99"/>
      <c r="D46" s="99"/>
      <c r="E46" s="99"/>
      <c r="F46" s="99"/>
      <c r="G46" s="99"/>
    </row>
    <row r="47" spans="1:12">
      <c r="A47" s="99"/>
      <c r="B47" s="113"/>
      <c r="C47" s="99"/>
      <c r="D47" s="99"/>
      <c r="E47" s="99"/>
      <c r="F47" s="99"/>
      <c r="G47" s="99"/>
      <c r="L47" t="s">
        <v>25</v>
      </c>
    </row>
    <row r="48" spans="1:12">
      <c r="A48" s="99"/>
      <c r="B48" s="113"/>
      <c r="C48" s="99"/>
      <c r="D48" s="99">
        <v>0</v>
      </c>
      <c r="E48" s="99">
        <f t="shared" si="5"/>
        <v>0</v>
      </c>
      <c r="F48" s="99">
        <f t="shared" si="0"/>
        <v>0</v>
      </c>
      <c r="G48" s="99">
        <f t="shared" si="2"/>
        <v>0</v>
      </c>
    </row>
    <row r="49" spans="1:7">
      <c r="A49" s="99"/>
      <c r="B49" s="113"/>
      <c r="C49" s="99"/>
      <c r="D49" s="99">
        <v>0</v>
      </c>
      <c r="E49" s="99">
        <f t="shared" si="5"/>
        <v>0</v>
      </c>
      <c r="F49" s="99">
        <f t="shared" si="0"/>
        <v>0</v>
      </c>
      <c r="G49" s="99">
        <f t="shared" si="2"/>
        <v>0</v>
      </c>
    </row>
    <row r="50" spans="1:7">
      <c r="A50" s="99"/>
      <c r="B50" s="113"/>
      <c r="C50" s="99"/>
      <c r="D50" s="99"/>
      <c r="E50" s="99">
        <f t="shared" si="5"/>
        <v>0</v>
      </c>
      <c r="F50" s="99">
        <f>IF(B33&gt;0,1,0)</f>
        <v>1</v>
      </c>
      <c r="G50" s="99">
        <f t="shared" si="2"/>
        <v>0</v>
      </c>
    </row>
    <row r="51" spans="1:7">
      <c r="A51" s="99"/>
      <c r="B51" s="95">
        <f>SUM(B2:B50)</f>
        <v>77674</v>
      </c>
      <c r="C51" s="99"/>
      <c r="D51" s="99"/>
      <c r="E51" s="99"/>
      <c r="F51" s="99"/>
      <c r="G51" s="95">
        <f>SUM(G2:G33)</f>
        <v>412540042</v>
      </c>
    </row>
    <row r="52" spans="1:7">
      <c r="A52" s="99"/>
      <c r="B52" s="99" t="s">
        <v>283</v>
      </c>
      <c r="C52" s="99"/>
      <c r="D52" s="99"/>
      <c r="E52" s="99"/>
      <c r="F52" s="99" t="s">
        <v>25</v>
      </c>
      <c r="G52" s="99" t="s">
        <v>284</v>
      </c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99"/>
      <c r="C54" s="99"/>
      <c r="D54" s="99"/>
      <c r="E54" s="99"/>
      <c r="F54" s="99"/>
      <c r="G54" s="113">
        <f>G51/E2</f>
        <v>571385.0997229917</v>
      </c>
    </row>
    <row r="55" spans="1:7">
      <c r="A55" s="99"/>
      <c r="B55" s="99"/>
      <c r="C55" s="99"/>
      <c r="D55" s="99"/>
      <c r="E55" s="99"/>
      <c r="F55" s="99"/>
      <c r="G55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1" sqref="I31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7400</v>
      </c>
      <c r="H31" s="11" t="s">
        <v>1103</v>
      </c>
      <c r="I31" s="11">
        <v>240600</v>
      </c>
      <c r="J31" s="11" t="s">
        <v>477</v>
      </c>
    </row>
    <row r="32" spans="2:21">
      <c r="G32" s="11">
        <f>$I$47-I32</f>
        <v>63000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activeCell="E25" sqref="E25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9" t="s">
        <v>0</v>
      </c>
      <c r="B1" s="219" t="s">
        <v>1</v>
      </c>
      <c r="C1" s="219" t="s">
        <v>4</v>
      </c>
      <c r="D1" s="219" t="s">
        <v>5</v>
      </c>
      <c r="E1" s="21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9" t="s">
        <v>4799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9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4813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4839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4851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4851</v>
      </c>
      <c r="B6" s="18">
        <v>-1866154</v>
      </c>
      <c r="C6" s="18">
        <v>0</v>
      </c>
      <c r="D6" s="113">
        <f t="shared" si="0"/>
        <v>-1866154</v>
      </c>
      <c r="E6" s="19" t="s">
        <v>4861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4851</v>
      </c>
      <c r="B7" s="18">
        <v>-36600</v>
      </c>
      <c r="C7" s="18">
        <v>0</v>
      </c>
      <c r="D7" s="113">
        <f t="shared" si="0"/>
        <v>-36600</v>
      </c>
      <c r="E7" s="19" t="s">
        <v>4862</v>
      </c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4686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4686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4686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4696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4696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4728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4728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4728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4733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4749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4756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4756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4768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4758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4760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4778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3684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4788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4632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4637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4637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4643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9" t="s">
        <v>4643</v>
      </c>
      <c r="B31" s="219">
        <v>0</v>
      </c>
      <c r="C31" s="219">
        <v>0</v>
      </c>
      <c r="D31" s="219">
        <f t="shared" si="0"/>
        <v>0</v>
      </c>
      <c r="E31" s="219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9" t="s">
        <v>6</v>
      </c>
      <c r="B32" s="113">
        <f>SUM(B2:B31)</f>
        <v>1722807</v>
      </c>
      <c r="C32" s="113">
        <f>SUM(C2:C31)</f>
        <v>0</v>
      </c>
      <c r="D32" s="113">
        <f>SUM(D2:D31)</f>
        <v>1722807</v>
      </c>
      <c r="E32" s="21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46393630</v>
      </c>
      <c r="H33" s="18">
        <f>SUM(H2:H31)</f>
        <v>0</v>
      </c>
      <c r="I33" s="18">
        <f>SUM(I2:I31)</f>
        <v>46393630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4811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4812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4826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4827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4837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4849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4855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4859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4860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4861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0</v>
      </c>
      <c r="E51" s="122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0</v>
      </c>
      <c r="E52" s="122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0</v>
      </c>
      <c r="E53" s="122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0</v>
      </c>
      <c r="E54" s="122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0</v>
      </c>
      <c r="E55" s="122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0</v>
      </c>
      <c r="E56" s="122"/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0</v>
      </c>
      <c r="E57" s="122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0</v>
      </c>
      <c r="E58" s="122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0</v>
      </c>
      <c r="E59" s="122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0</v>
      </c>
      <c r="E60" s="122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0</v>
      </c>
      <c r="E61" s="122"/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f>SUM(D38:D62)</f>
        <v>768</v>
      </c>
      <c r="E63" s="96" t="s">
        <v>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96"/>
      <c r="E64" s="96" t="s">
        <v>25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96"/>
      <c r="E65" s="96" t="s">
        <v>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zoomScaleNormal="100" workbookViewId="0">
      <pane ySplit="1" topLeftCell="A296" activePane="bottomLeft" state="frozen"/>
      <selection pane="bottomLeft" activeCell="F321" sqref="F321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1054</v>
      </c>
      <c r="H2" s="36">
        <f>IF(B2&gt;0,1,0)</f>
        <v>1</v>
      </c>
      <c r="I2" s="11">
        <f>B2*(G2-H2)</f>
        <v>17585100</v>
      </c>
      <c r="J2" s="53">
        <f>C2*(G2-H2)</f>
        <v>17585100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1053</v>
      </c>
      <c r="H3" s="36">
        <f t="shared" ref="H3:H66" si="2">IF(B3&gt;0,1,0)</f>
        <v>1</v>
      </c>
      <c r="I3" s="11">
        <f t="shared" ref="I3:I66" si="3">B3*(G3-H3)</f>
        <v>20934800000</v>
      </c>
      <c r="J3" s="53">
        <f t="shared" ref="J3:J66" si="4">C3*(G3-H3)</f>
        <v>11979124000</v>
      </c>
      <c r="K3" s="53">
        <f t="shared" ref="K3:K66" si="5">D3*(G3-H3)</f>
        <v>8955676000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1053</v>
      </c>
      <c r="H4" s="36">
        <f t="shared" si="2"/>
        <v>0</v>
      </c>
      <c r="I4" s="11">
        <f t="shared" si="3"/>
        <v>0</v>
      </c>
      <c r="J4" s="53">
        <f t="shared" si="4"/>
        <v>8950500</v>
      </c>
      <c r="K4" s="53">
        <f t="shared" si="5"/>
        <v>-8950500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1051</v>
      </c>
      <c r="H5" s="36">
        <f t="shared" si="2"/>
        <v>1</v>
      </c>
      <c r="I5" s="11">
        <f t="shared" si="3"/>
        <v>2100000000</v>
      </c>
      <c r="J5" s="53">
        <f t="shared" si="4"/>
        <v>0</v>
      </c>
      <c r="K5" s="53">
        <f t="shared" si="5"/>
        <v>2100000000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1044</v>
      </c>
      <c r="H6" s="36">
        <f t="shared" si="2"/>
        <v>0</v>
      </c>
      <c r="I6" s="11">
        <f t="shared" si="3"/>
        <v>-5220000</v>
      </c>
      <c r="J6" s="53">
        <f t="shared" si="4"/>
        <v>0</v>
      </c>
      <c r="K6" s="53">
        <f t="shared" si="5"/>
        <v>-5220000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1040</v>
      </c>
      <c r="H7" s="36">
        <f t="shared" si="2"/>
        <v>0</v>
      </c>
      <c r="I7" s="11">
        <f t="shared" si="3"/>
        <v>-1248520000</v>
      </c>
      <c r="J7" s="53">
        <f t="shared" si="4"/>
        <v>0</v>
      </c>
      <c r="K7" s="53">
        <f t="shared" si="5"/>
        <v>-1248520000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1039</v>
      </c>
      <c r="H8" s="36">
        <f t="shared" si="2"/>
        <v>0</v>
      </c>
      <c r="I8" s="11">
        <f t="shared" si="3"/>
        <v>-207800000</v>
      </c>
      <c r="J8" s="53">
        <f t="shared" si="4"/>
        <v>0</v>
      </c>
      <c r="K8" s="53">
        <f t="shared" si="5"/>
        <v>-207800000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1037</v>
      </c>
      <c r="H9" s="36">
        <f t="shared" si="2"/>
        <v>0</v>
      </c>
      <c r="I9" s="11">
        <f t="shared" si="3"/>
        <v>-731603500</v>
      </c>
      <c r="J9" s="53">
        <f t="shared" si="4"/>
        <v>0</v>
      </c>
      <c r="K9" s="53">
        <f t="shared" si="5"/>
        <v>-731603500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1028</v>
      </c>
      <c r="H10" s="36">
        <f t="shared" si="2"/>
        <v>0</v>
      </c>
      <c r="I10" s="11">
        <f t="shared" si="3"/>
        <v>-205600000</v>
      </c>
      <c r="J10" s="53">
        <f t="shared" si="4"/>
        <v>0</v>
      </c>
      <c r="K10" s="53">
        <f t="shared" si="5"/>
        <v>-205600000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1028</v>
      </c>
      <c r="H11" s="36">
        <f t="shared" si="2"/>
        <v>1</v>
      </c>
      <c r="I11" s="11">
        <f t="shared" si="3"/>
        <v>1027000000</v>
      </c>
      <c r="J11" s="53">
        <f t="shared" si="4"/>
        <v>0</v>
      </c>
      <c r="K11" s="53">
        <f t="shared" si="5"/>
        <v>1027000000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1024</v>
      </c>
      <c r="H12" s="36">
        <f t="shared" si="2"/>
        <v>0</v>
      </c>
      <c r="I12" s="11">
        <f t="shared" si="3"/>
        <v>-307200000</v>
      </c>
      <c r="J12" s="53">
        <f t="shared" si="4"/>
        <v>0</v>
      </c>
      <c r="K12" s="53">
        <f t="shared" si="5"/>
        <v>-307200000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1019</v>
      </c>
      <c r="H13" s="36">
        <f t="shared" si="2"/>
        <v>0</v>
      </c>
      <c r="I13" s="11">
        <f t="shared" si="3"/>
        <v>-63178000</v>
      </c>
      <c r="J13" s="53">
        <f t="shared" si="4"/>
        <v>0</v>
      </c>
      <c r="K13" s="53">
        <f t="shared" si="5"/>
        <v>-63178000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1019</v>
      </c>
      <c r="H14" s="36">
        <f t="shared" si="2"/>
        <v>1</v>
      </c>
      <c r="I14" s="11">
        <f t="shared" si="3"/>
        <v>2036000000</v>
      </c>
      <c r="J14" s="53">
        <f t="shared" si="4"/>
        <v>0</v>
      </c>
      <c r="K14" s="53">
        <f t="shared" si="5"/>
        <v>2036000000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1018</v>
      </c>
      <c r="H15" s="36">
        <f t="shared" si="2"/>
        <v>1</v>
      </c>
      <c r="I15" s="11">
        <f t="shared" si="3"/>
        <v>1830600000</v>
      </c>
      <c r="J15" s="53">
        <f t="shared" si="4"/>
        <v>0</v>
      </c>
      <c r="K15" s="53">
        <f t="shared" si="5"/>
        <v>1830600000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1018</v>
      </c>
      <c r="H16" s="36">
        <f t="shared" si="2"/>
        <v>0</v>
      </c>
      <c r="I16" s="11">
        <f t="shared" si="3"/>
        <v>-203600000</v>
      </c>
      <c r="J16" s="53">
        <f t="shared" si="4"/>
        <v>0</v>
      </c>
      <c r="K16" s="53">
        <f t="shared" si="5"/>
        <v>-203600000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1014</v>
      </c>
      <c r="H17" s="36">
        <f t="shared" si="2"/>
        <v>0</v>
      </c>
      <c r="I17" s="11">
        <f t="shared" si="3"/>
        <v>-2028000000</v>
      </c>
      <c r="J17" s="53">
        <f t="shared" si="4"/>
        <v>0</v>
      </c>
      <c r="K17" s="53">
        <f t="shared" si="5"/>
        <v>-2028000000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1013</v>
      </c>
      <c r="H18" s="36">
        <f t="shared" si="2"/>
        <v>0</v>
      </c>
      <c r="I18" s="11">
        <f t="shared" si="3"/>
        <v>-303900000</v>
      </c>
      <c r="J18" s="53">
        <f t="shared" si="4"/>
        <v>0</v>
      </c>
      <c r="K18" s="53">
        <f t="shared" si="5"/>
        <v>-303900000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1012</v>
      </c>
      <c r="H19" s="36">
        <f t="shared" si="2"/>
        <v>0</v>
      </c>
      <c r="I19" s="11">
        <f t="shared" si="3"/>
        <v>-202400000</v>
      </c>
      <c r="J19" s="53">
        <f t="shared" si="4"/>
        <v>0</v>
      </c>
      <c r="K19" s="53">
        <f t="shared" si="5"/>
        <v>-202400000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1010</v>
      </c>
      <c r="H20" s="36">
        <f t="shared" si="2"/>
        <v>1</v>
      </c>
      <c r="I20" s="11">
        <f t="shared" si="3"/>
        <v>273528801</v>
      </c>
      <c r="J20" s="53">
        <f t="shared" si="4"/>
        <v>148779068</v>
      </c>
      <c r="K20" s="53">
        <f t="shared" si="5"/>
        <v>124749733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1008</v>
      </c>
      <c r="H21" s="36">
        <f t="shared" si="2"/>
        <v>0</v>
      </c>
      <c r="I21" s="11">
        <f t="shared" si="3"/>
        <v>-1517745600</v>
      </c>
      <c r="J21" s="53">
        <f t="shared" si="4"/>
        <v>0</v>
      </c>
      <c r="K21" s="53">
        <f t="shared" si="5"/>
        <v>-1517745600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1005</v>
      </c>
      <c r="H22" s="36">
        <f t="shared" si="2"/>
        <v>1</v>
      </c>
      <c r="I22" s="11">
        <f t="shared" si="3"/>
        <v>3012000000</v>
      </c>
      <c r="J22" s="53">
        <f t="shared" si="4"/>
        <v>0</v>
      </c>
      <c r="K22" s="53">
        <f t="shared" si="5"/>
        <v>3012000000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1004</v>
      </c>
      <c r="H23" s="36">
        <f t="shared" si="2"/>
        <v>1</v>
      </c>
      <c r="I23" s="11">
        <f t="shared" si="3"/>
        <v>1003000000</v>
      </c>
      <c r="J23" s="53">
        <f t="shared" si="4"/>
        <v>0</v>
      </c>
      <c r="K23" s="53">
        <f t="shared" si="5"/>
        <v>1003000000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1003</v>
      </c>
      <c r="H24" s="36">
        <f t="shared" si="2"/>
        <v>0</v>
      </c>
      <c r="I24" s="11">
        <f t="shared" si="3"/>
        <v>-3009902700</v>
      </c>
      <c r="J24" s="53">
        <f t="shared" si="4"/>
        <v>0</v>
      </c>
      <c r="K24" s="53">
        <f t="shared" si="5"/>
        <v>-3009902700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988</v>
      </c>
      <c r="H25" s="36">
        <f t="shared" si="2"/>
        <v>1</v>
      </c>
      <c r="I25" s="11">
        <f t="shared" si="3"/>
        <v>1480500000</v>
      </c>
      <c r="J25" s="53">
        <f t="shared" si="4"/>
        <v>0</v>
      </c>
      <c r="K25" s="53">
        <f t="shared" si="5"/>
        <v>1480500000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980</v>
      </c>
      <c r="H26" s="36">
        <f t="shared" si="2"/>
        <v>0</v>
      </c>
      <c r="I26" s="11">
        <f t="shared" si="3"/>
        <v>-160720000</v>
      </c>
      <c r="J26" s="53">
        <f t="shared" si="4"/>
        <v>0</v>
      </c>
      <c r="K26" s="53">
        <f t="shared" si="5"/>
        <v>-160720000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979</v>
      </c>
      <c r="H27" s="36">
        <f t="shared" si="2"/>
        <v>1</v>
      </c>
      <c r="I27" s="11">
        <f t="shared" si="3"/>
        <v>195006354</v>
      </c>
      <c r="J27" s="53">
        <f t="shared" si="4"/>
        <v>105049914</v>
      </c>
      <c r="K27" s="53">
        <f t="shared" si="5"/>
        <v>89956440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977</v>
      </c>
      <c r="H28" s="36">
        <f t="shared" si="2"/>
        <v>0</v>
      </c>
      <c r="I28" s="11">
        <f t="shared" si="3"/>
        <v>-215917000</v>
      </c>
      <c r="J28" s="53">
        <f t="shared" si="4"/>
        <v>-215917000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977</v>
      </c>
      <c r="H29" s="36">
        <f t="shared" si="2"/>
        <v>0</v>
      </c>
      <c r="I29" s="11">
        <f t="shared" si="3"/>
        <v>-488988500</v>
      </c>
      <c r="J29" s="53">
        <f t="shared" si="4"/>
        <v>0</v>
      </c>
      <c r="K29" s="53">
        <f t="shared" si="5"/>
        <v>-488988500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977</v>
      </c>
      <c r="H30" s="36">
        <f t="shared" si="2"/>
        <v>0</v>
      </c>
      <c r="I30" s="11">
        <f t="shared" si="3"/>
        <v>-14655000000</v>
      </c>
      <c r="J30" s="53">
        <f t="shared" si="4"/>
        <v>-14655000000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960</v>
      </c>
      <c r="H31" s="36">
        <f t="shared" si="2"/>
        <v>0</v>
      </c>
      <c r="I31" s="11">
        <f t="shared" si="3"/>
        <v>-2890464000</v>
      </c>
      <c r="J31" s="53">
        <f t="shared" si="4"/>
        <v>0</v>
      </c>
      <c r="K31" s="53">
        <f t="shared" si="5"/>
        <v>-2890464000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958</v>
      </c>
      <c r="H32" s="36">
        <f t="shared" si="2"/>
        <v>0</v>
      </c>
      <c r="I32" s="11">
        <f t="shared" si="3"/>
        <v>-2879652200</v>
      </c>
      <c r="J32" s="53">
        <f t="shared" si="4"/>
        <v>0</v>
      </c>
      <c r="K32" s="53">
        <f t="shared" si="5"/>
        <v>-2879652200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957</v>
      </c>
      <c r="H33" s="36">
        <f t="shared" si="2"/>
        <v>0</v>
      </c>
      <c r="I33" s="11">
        <f t="shared" si="3"/>
        <v>-856993500</v>
      </c>
      <c r="J33" s="53">
        <f t="shared" si="4"/>
        <v>0</v>
      </c>
      <c r="K33" s="53">
        <f t="shared" si="5"/>
        <v>-856993500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957</v>
      </c>
      <c r="H34" s="36">
        <f t="shared" si="2"/>
        <v>0</v>
      </c>
      <c r="I34" s="11">
        <f t="shared" si="3"/>
        <v>0</v>
      </c>
      <c r="J34" s="53">
        <f t="shared" si="4"/>
        <v>957000000</v>
      </c>
      <c r="K34" s="53">
        <f t="shared" si="5"/>
        <v>-957000000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948</v>
      </c>
      <c r="H35" s="36">
        <f t="shared" si="2"/>
        <v>1</v>
      </c>
      <c r="I35" s="11">
        <f t="shared" si="3"/>
        <v>49690984</v>
      </c>
      <c r="J35" s="53">
        <f t="shared" si="4"/>
        <v>-20514861</v>
      </c>
      <c r="K35" s="53">
        <f t="shared" si="5"/>
        <v>70205845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948</v>
      </c>
      <c r="H36" s="36">
        <f t="shared" si="2"/>
        <v>0</v>
      </c>
      <c r="I36" s="11">
        <f t="shared" si="3"/>
        <v>0</v>
      </c>
      <c r="J36" s="53">
        <f t="shared" si="4"/>
        <v>20536524</v>
      </c>
      <c r="K36" s="53">
        <f t="shared" si="5"/>
        <v>-20536524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938</v>
      </c>
      <c r="H37" s="36">
        <f t="shared" si="2"/>
        <v>0</v>
      </c>
      <c r="I37" s="11">
        <f t="shared" si="3"/>
        <v>-51590000</v>
      </c>
      <c r="J37" s="53">
        <f t="shared" si="4"/>
        <v>0</v>
      </c>
      <c r="K37" s="53">
        <f t="shared" si="5"/>
        <v>-51590000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937</v>
      </c>
      <c r="H38" s="36">
        <f t="shared" si="2"/>
        <v>1</v>
      </c>
      <c r="I38" s="11">
        <f t="shared" si="3"/>
        <v>2808000000</v>
      </c>
      <c r="J38" s="53">
        <f t="shared" si="4"/>
        <v>2808000000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936</v>
      </c>
      <c r="H39" s="36">
        <f t="shared" si="2"/>
        <v>1</v>
      </c>
      <c r="I39" s="11">
        <f t="shared" si="3"/>
        <v>2337500000</v>
      </c>
      <c r="J39" s="53">
        <f t="shared" si="4"/>
        <v>2337500000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936</v>
      </c>
      <c r="H40" s="36">
        <f t="shared" si="2"/>
        <v>0</v>
      </c>
      <c r="I40" s="11">
        <f t="shared" si="3"/>
        <v>-46800000</v>
      </c>
      <c r="J40" s="53">
        <f t="shared" si="4"/>
        <v>0</v>
      </c>
      <c r="K40" s="53">
        <f t="shared" si="5"/>
        <v>-46800000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936</v>
      </c>
      <c r="H41" s="36">
        <f t="shared" si="2"/>
        <v>1</v>
      </c>
      <c r="I41" s="11">
        <f t="shared" si="3"/>
        <v>2805000000</v>
      </c>
      <c r="J41" s="53">
        <f t="shared" si="4"/>
        <v>0</v>
      </c>
      <c r="K41" s="53">
        <f t="shared" si="5"/>
        <v>2805000000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933</v>
      </c>
      <c r="H42" s="36">
        <f t="shared" si="2"/>
        <v>0</v>
      </c>
      <c r="I42" s="11">
        <f t="shared" si="3"/>
        <v>-83223600</v>
      </c>
      <c r="J42" s="53">
        <f t="shared" si="4"/>
        <v>0</v>
      </c>
      <c r="K42" s="53">
        <f t="shared" si="5"/>
        <v>-83223600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929</v>
      </c>
      <c r="H43" s="36">
        <f t="shared" si="2"/>
        <v>0</v>
      </c>
      <c r="I43" s="11">
        <f t="shared" si="3"/>
        <v>-185800000</v>
      </c>
      <c r="J43" s="53">
        <f t="shared" si="4"/>
        <v>0</v>
      </c>
      <c r="K43" s="53">
        <f t="shared" si="5"/>
        <v>-185800000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927</v>
      </c>
      <c r="H44" s="36">
        <f t="shared" si="2"/>
        <v>0</v>
      </c>
      <c r="I44" s="11">
        <f t="shared" si="3"/>
        <v>-185400000</v>
      </c>
      <c r="J44" s="53">
        <f t="shared" si="4"/>
        <v>0</v>
      </c>
      <c r="K44" s="53">
        <f t="shared" si="5"/>
        <v>-185400000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927</v>
      </c>
      <c r="H45" s="36">
        <f t="shared" si="2"/>
        <v>0</v>
      </c>
      <c r="I45" s="11">
        <f t="shared" si="3"/>
        <v>-519120000</v>
      </c>
      <c r="J45" s="53">
        <f t="shared" si="4"/>
        <v>0</v>
      </c>
      <c r="K45" s="53">
        <f t="shared" si="5"/>
        <v>-519120000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923</v>
      </c>
      <c r="H46" s="36">
        <f t="shared" si="2"/>
        <v>0</v>
      </c>
      <c r="I46" s="11">
        <f t="shared" si="3"/>
        <v>-651176500</v>
      </c>
      <c r="J46" s="53">
        <f t="shared" si="4"/>
        <v>0</v>
      </c>
      <c r="K46" s="53">
        <f t="shared" si="5"/>
        <v>-651176500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917</v>
      </c>
      <c r="H47" s="36">
        <f t="shared" si="2"/>
        <v>1</v>
      </c>
      <c r="I47" s="11">
        <f t="shared" si="3"/>
        <v>37742864</v>
      </c>
      <c r="J47" s="53">
        <f t="shared" si="4"/>
        <v>6149108</v>
      </c>
      <c r="K47" s="53">
        <f t="shared" si="5"/>
        <v>31593756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917</v>
      </c>
      <c r="H48" s="36">
        <f t="shared" si="2"/>
        <v>1</v>
      </c>
      <c r="I48" s="11">
        <f t="shared" si="3"/>
        <v>1561505200</v>
      </c>
      <c r="J48" s="53">
        <f t="shared" si="4"/>
        <v>0</v>
      </c>
      <c r="K48" s="53">
        <f t="shared" si="5"/>
        <v>1561505200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908</v>
      </c>
      <c r="H49" s="36">
        <f t="shared" si="2"/>
        <v>0</v>
      </c>
      <c r="I49" s="11">
        <f t="shared" si="3"/>
        <v>-140740000</v>
      </c>
      <c r="J49" s="53">
        <f t="shared" si="4"/>
        <v>0</v>
      </c>
      <c r="K49" s="53">
        <f t="shared" si="5"/>
        <v>-140740000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908</v>
      </c>
      <c r="H50" s="36">
        <f t="shared" si="2"/>
        <v>0</v>
      </c>
      <c r="I50" s="11">
        <f t="shared" si="3"/>
        <v>-125304000</v>
      </c>
      <c r="J50" s="53">
        <f t="shared" si="4"/>
        <v>0</v>
      </c>
      <c r="K50" s="53">
        <f t="shared" si="5"/>
        <v>-125304000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908</v>
      </c>
      <c r="H51" s="36">
        <f t="shared" si="2"/>
        <v>0</v>
      </c>
      <c r="I51" s="11">
        <f t="shared" si="3"/>
        <v>-671920000</v>
      </c>
      <c r="J51" s="53">
        <f t="shared" si="4"/>
        <v>0</v>
      </c>
      <c r="K51" s="53">
        <f t="shared" si="5"/>
        <v>-671920000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908</v>
      </c>
      <c r="H52" s="36">
        <f t="shared" si="2"/>
        <v>0</v>
      </c>
      <c r="I52" s="11">
        <f t="shared" si="3"/>
        <v>-181600000</v>
      </c>
      <c r="J52" s="53">
        <f t="shared" si="4"/>
        <v>0</v>
      </c>
      <c r="K52" s="53">
        <f t="shared" si="5"/>
        <v>-181600000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907</v>
      </c>
      <c r="H53" s="36">
        <f t="shared" si="2"/>
        <v>0</v>
      </c>
      <c r="I53" s="11">
        <f t="shared" si="3"/>
        <v>-956885000</v>
      </c>
      <c r="J53" s="53">
        <f t="shared" si="4"/>
        <v>0</v>
      </c>
      <c r="K53" s="53">
        <f t="shared" si="5"/>
        <v>-956885000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907</v>
      </c>
      <c r="H54" s="36">
        <f t="shared" si="2"/>
        <v>0</v>
      </c>
      <c r="I54" s="11">
        <f t="shared" si="3"/>
        <v>-181400000</v>
      </c>
      <c r="J54" s="53">
        <f t="shared" si="4"/>
        <v>0</v>
      </c>
      <c r="K54" s="53">
        <f t="shared" si="5"/>
        <v>-181400000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907</v>
      </c>
      <c r="H55" s="36">
        <f t="shared" si="2"/>
        <v>0</v>
      </c>
      <c r="I55" s="11">
        <f t="shared" si="3"/>
        <v>-907453500</v>
      </c>
      <c r="J55" s="53">
        <f t="shared" si="4"/>
        <v>0</v>
      </c>
      <c r="K55" s="53">
        <f t="shared" si="5"/>
        <v>-907453500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907</v>
      </c>
      <c r="H56" s="36">
        <f t="shared" si="2"/>
        <v>0</v>
      </c>
      <c r="I56" s="11">
        <f t="shared" si="3"/>
        <v>-34466000</v>
      </c>
      <c r="J56" s="53">
        <f t="shared" si="4"/>
        <v>0</v>
      </c>
      <c r="K56" s="53">
        <f t="shared" si="5"/>
        <v>-34466000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907</v>
      </c>
      <c r="H57" s="36">
        <f t="shared" si="2"/>
        <v>0</v>
      </c>
      <c r="I57" s="11">
        <f t="shared" si="3"/>
        <v>-95235000</v>
      </c>
      <c r="J57" s="53">
        <f t="shared" si="4"/>
        <v>0</v>
      </c>
      <c r="K57" s="53">
        <f t="shared" si="5"/>
        <v>-95235000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907</v>
      </c>
      <c r="H58" s="36">
        <f t="shared" si="2"/>
        <v>0</v>
      </c>
      <c r="I58" s="11">
        <f t="shared" si="3"/>
        <v>-54420000</v>
      </c>
      <c r="J58" s="53">
        <f t="shared" si="4"/>
        <v>0</v>
      </c>
      <c r="K58" s="53">
        <f t="shared" si="5"/>
        <v>-54420000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904</v>
      </c>
      <c r="H59" s="36">
        <f t="shared" si="2"/>
        <v>1</v>
      </c>
      <c r="I59" s="11">
        <f t="shared" si="3"/>
        <v>903000000</v>
      </c>
      <c r="J59" s="53">
        <f t="shared" si="4"/>
        <v>903000000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903</v>
      </c>
      <c r="H60" s="36">
        <f t="shared" si="2"/>
        <v>1</v>
      </c>
      <c r="I60" s="11">
        <f t="shared" si="3"/>
        <v>3157000000</v>
      </c>
      <c r="J60" s="53">
        <f t="shared" si="4"/>
        <v>3157000000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901</v>
      </c>
      <c r="H61" s="36">
        <f t="shared" si="2"/>
        <v>1</v>
      </c>
      <c r="I61" s="11">
        <f t="shared" si="3"/>
        <v>900000000</v>
      </c>
      <c r="J61" s="53">
        <f t="shared" si="4"/>
        <v>900000000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901</v>
      </c>
      <c r="H62" s="36">
        <f t="shared" si="2"/>
        <v>1</v>
      </c>
      <c r="I62" s="11">
        <f t="shared" si="3"/>
        <v>2700000000</v>
      </c>
      <c r="J62" s="53">
        <f t="shared" si="4"/>
        <v>2700000000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899</v>
      </c>
      <c r="H63" s="36">
        <f t="shared" si="2"/>
        <v>0</v>
      </c>
      <c r="I63" s="11">
        <f t="shared" si="3"/>
        <v>-179800000</v>
      </c>
      <c r="J63" s="53">
        <f t="shared" si="4"/>
        <v>0</v>
      </c>
      <c r="K63" s="53">
        <f t="shared" si="5"/>
        <v>-179800000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894</v>
      </c>
      <c r="H64" s="36">
        <f t="shared" si="2"/>
        <v>0</v>
      </c>
      <c r="I64" s="11">
        <f t="shared" si="3"/>
        <v>-44700000</v>
      </c>
      <c r="J64" s="53">
        <f t="shared" si="4"/>
        <v>0</v>
      </c>
      <c r="K64" s="53">
        <f t="shared" si="5"/>
        <v>-44700000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890</v>
      </c>
      <c r="H65" s="36">
        <f t="shared" si="2"/>
        <v>0</v>
      </c>
      <c r="I65" s="11">
        <f t="shared" si="3"/>
        <v>-178000000</v>
      </c>
      <c r="J65" s="53">
        <f t="shared" si="4"/>
        <v>0</v>
      </c>
      <c r="K65" s="53">
        <f t="shared" si="5"/>
        <v>-178000000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887</v>
      </c>
      <c r="H66" s="36">
        <f t="shared" si="2"/>
        <v>0</v>
      </c>
      <c r="I66" s="11">
        <f t="shared" si="3"/>
        <v>-150790000</v>
      </c>
      <c r="J66" s="53">
        <f t="shared" si="4"/>
        <v>0</v>
      </c>
      <c r="K66" s="53">
        <f t="shared" si="5"/>
        <v>-150790000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886</v>
      </c>
      <c r="H67" s="36">
        <f t="shared" ref="H67:H131" si="8">IF(B67&gt;0,1,0)</f>
        <v>1</v>
      </c>
      <c r="I67" s="11">
        <f t="shared" ref="I67:I119" si="9">B67*(G67-H67)</f>
        <v>80822625</v>
      </c>
      <c r="J67" s="53">
        <f t="shared" ref="J67:J131" si="10">C67*(G67-H67)</f>
        <v>58164855</v>
      </c>
      <c r="K67" s="53">
        <f t="shared" ref="K67:K131" si="11">D67*(G67-H67)</f>
        <v>22657770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868</v>
      </c>
      <c r="H68" s="36">
        <f t="shared" si="8"/>
        <v>0</v>
      </c>
      <c r="I68" s="11">
        <f t="shared" si="9"/>
        <v>-125860000</v>
      </c>
      <c r="J68" s="53">
        <f t="shared" si="10"/>
        <v>0</v>
      </c>
      <c r="K68" s="53">
        <f t="shared" si="11"/>
        <v>-125860000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861</v>
      </c>
      <c r="H69" s="36">
        <f t="shared" si="8"/>
        <v>1</v>
      </c>
      <c r="I69" s="11">
        <f t="shared" si="9"/>
        <v>842800000</v>
      </c>
      <c r="J69" s="53">
        <f t="shared" si="10"/>
        <v>0</v>
      </c>
      <c r="K69" s="53">
        <f t="shared" si="11"/>
        <v>842800000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858</v>
      </c>
      <c r="H70" s="36">
        <f t="shared" si="8"/>
        <v>0</v>
      </c>
      <c r="I70" s="11">
        <f t="shared" si="9"/>
        <v>-39468000</v>
      </c>
      <c r="J70" s="53">
        <f t="shared" si="10"/>
        <v>0</v>
      </c>
      <c r="K70" s="53">
        <f t="shared" si="11"/>
        <v>-39468000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856</v>
      </c>
      <c r="H71" s="36">
        <f t="shared" si="8"/>
        <v>1</v>
      </c>
      <c r="I71" s="11">
        <f t="shared" si="9"/>
        <v>98613990</v>
      </c>
      <c r="J71" s="53">
        <f t="shared" si="10"/>
        <v>88759260</v>
      </c>
      <c r="K71" s="53">
        <f t="shared" si="11"/>
        <v>9854730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855</v>
      </c>
      <c r="H72" s="36">
        <f t="shared" si="8"/>
        <v>0</v>
      </c>
      <c r="I72" s="11">
        <f t="shared" si="9"/>
        <v>-129933495</v>
      </c>
      <c r="J72" s="53">
        <f t="shared" si="10"/>
        <v>0</v>
      </c>
      <c r="K72" s="53">
        <f t="shared" si="11"/>
        <v>-129933495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854</v>
      </c>
      <c r="H73" s="36">
        <f t="shared" si="8"/>
        <v>0</v>
      </c>
      <c r="I73" s="11">
        <f t="shared" si="9"/>
        <v>-687897000</v>
      </c>
      <c r="J73" s="53">
        <f t="shared" si="10"/>
        <v>0</v>
      </c>
      <c r="K73" s="53">
        <f t="shared" si="11"/>
        <v>-687897000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847</v>
      </c>
      <c r="H74" s="36">
        <f t="shared" si="8"/>
        <v>1</v>
      </c>
      <c r="I74" s="11">
        <f t="shared" si="9"/>
        <v>5917770000</v>
      </c>
      <c r="J74" s="53">
        <f t="shared" si="10"/>
        <v>0</v>
      </c>
      <c r="K74" s="53">
        <f t="shared" si="11"/>
        <v>5917770000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846</v>
      </c>
      <c r="H75" s="36">
        <f t="shared" si="8"/>
        <v>1</v>
      </c>
      <c r="I75" s="11">
        <f t="shared" si="9"/>
        <v>2535000000</v>
      </c>
      <c r="J75" s="53">
        <f t="shared" si="10"/>
        <v>0</v>
      </c>
      <c r="K75" s="53">
        <f t="shared" si="11"/>
        <v>2535000000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844</v>
      </c>
      <c r="H76" s="36">
        <f t="shared" si="8"/>
        <v>1</v>
      </c>
      <c r="I76" s="11">
        <f t="shared" si="9"/>
        <v>2529000000</v>
      </c>
      <c r="J76" s="53">
        <f t="shared" si="10"/>
        <v>0</v>
      </c>
      <c r="K76" s="53">
        <f t="shared" si="11"/>
        <v>2529000000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843</v>
      </c>
      <c r="H77" s="36">
        <f t="shared" si="8"/>
        <v>1</v>
      </c>
      <c r="I77" s="11">
        <f t="shared" si="9"/>
        <v>2526000000</v>
      </c>
      <c r="J77" s="53">
        <f t="shared" si="10"/>
        <v>0</v>
      </c>
      <c r="K77" s="53">
        <f t="shared" si="11"/>
        <v>2526000000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842</v>
      </c>
      <c r="H78" s="36">
        <f t="shared" si="8"/>
        <v>0</v>
      </c>
      <c r="I78" s="11">
        <f t="shared" si="9"/>
        <v>-2694400000</v>
      </c>
      <c r="J78" s="53">
        <f t="shared" si="10"/>
        <v>-2694400000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841</v>
      </c>
      <c r="H79" s="36">
        <f t="shared" si="8"/>
        <v>0</v>
      </c>
      <c r="I79" s="11">
        <f t="shared" si="9"/>
        <v>-672800000</v>
      </c>
      <c r="J79" s="53">
        <f t="shared" si="10"/>
        <v>-672800000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840</v>
      </c>
      <c r="H80" s="36">
        <f t="shared" si="8"/>
        <v>0</v>
      </c>
      <c r="I80" s="11">
        <f t="shared" si="9"/>
        <v>-40650120</v>
      </c>
      <c r="J80" s="53">
        <f t="shared" si="10"/>
        <v>0</v>
      </c>
      <c r="K80" s="53">
        <f t="shared" si="11"/>
        <v>-40650120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839</v>
      </c>
      <c r="H81" s="36">
        <f t="shared" si="8"/>
        <v>0</v>
      </c>
      <c r="I81" s="11">
        <f t="shared" si="9"/>
        <v>-117460000</v>
      </c>
      <c r="J81" s="53">
        <f t="shared" si="10"/>
        <v>0</v>
      </c>
      <c r="K81" s="53">
        <f t="shared" si="11"/>
        <v>-117460000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838</v>
      </c>
      <c r="H82" s="36">
        <f t="shared" si="8"/>
        <v>0</v>
      </c>
      <c r="I82" s="11">
        <f t="shared" si="9"/>
        <v>-209500000</v>
      </c>
      <c r="J82" s="53">
        <f t="shared" si="10"/>
        <v>0</v>
      </c>
      <c r="K82" s="53">
        <f t="shared" si="11"/>
        <v>-209500000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837</v>
      </c>
      <c r="H83" s="36">
        <f t="shared" si="8"/>
        <v>0</v>
      </c>
      <c r="I83" s="11">
        <f t="shared" si="9"/>
        <v>-167400000</v>
      </c>
      <c r="J83" s="53">
        <f t="shared" si="10"/>
        <v>0</v>
      </c>
      <c r="K83" s="53">
        <f t="shared" si="11"/>
        <v>-167400000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834</v>
      </c>
      <c r="H84" s="36">
        <f t="shared" si="8"/>
        <v>1</v>
      </c>
      <c r="I84" s="11">
        <f t="shared" si="9"/>
        <v>1362121600</v>
      </c>
      <c r="J84" s="53">
        <f t="shared" si="10"/>
        <v>0</v>
      </c>
      <c r="K84" s="53">
        <f t="shared" si="11"/>
        <v>1362121600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830</v>
      </c>
      <c r="H85" s="36">
        <f t="shared" si="8"/>
        <v>1</v>
      </c>
      <c r="I85" s="11">
        <f t="shared" si="9"/>
        <v>2072500000</v>
      </c>
      <c r="J85" s="53">
        <f t="shared" si="10"/>
        <v>0</v>
      </c>
      <c r="K85" s="53">
        <f t="shared" si="11"/>
        <v>2072500000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826</v>
      </c>
      <c r="H86" s="36">
        <f t="shared" si="8"/>
        <v>1</v>
      </c>
      <c r="I86" s="11">
        <f t="shared" si="9"/>
        <v>153697500</v>
      </c>
      <c r="J86" s="53">
        <f t="shared" si="10"/>
        <v>70083750</v>
      </c>
      <c r="K86" s="53">
        <f t="shared" si="11"/>
        <v>83613750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823</v>
      </c>
      <c r="H87" s="36">
        <f t="shared" si="8"/>
        <v>0</v>
      </c>
      <c r="I87" s="11">
        <f t="shared" si="9"/>
        <v>-164600000</v>
      </c>
      <c r="J87" s="53">
        <f t="shared" si="10"/>
        <v>0</v>
      </c>
      <c r="K87" s="53">
        <f t="shared" si="11"/>
        <v>-164600000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822</v>
      </c>
      <c r="H88" s="36">
        <f t="shared" si="8"/>
        <v>0</v>
      </c>
      <c r="I88" s="11">
        <f t="shared" si="9"/>
        <v>-96996000</v>
      </c>
      <c r="J88" s="53">
        <f t="shared" si="10"/>
        <v>-56718000</v>
      </c>
      <c r="K88" s="53">
        <f t="shared" si="11"/>
        <v>-40278000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814</v>
      </c>
      <c r="H89" s="36">
        <f t="shared" si="8"/>
        <v>0</v>
      </c>
      <c r="I89" s="11">
        <f t="shared" si="9"/>
        <v>-2605532600</v>
      </c>
      <c r="J89" s="53">
        <f t="shared" si="10"/>
        <v>0</v>
      </c>
      <c r="K89" s="53">
        <f t="shared" si="11"/>
        <v>-2605532600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813</v>
      </c>
      <c r="H90" s="36">
        <f t="shared" si="8"/>
        <v>0</v>
      </c>
      <c r="I90" s="11">
        <f t="shared" si="9"/>
        <v>-2602331700</v>
      </c>
      <c r="J90" s="53">
        <f t="shared" si="10"/>
        <v>0</v>
      </c>
      <c r="K90" s="53">
        <f t="shared" si="11"/>
        <v>-2602331700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812</v>
      </c>
      <c r="H91" s="36">
        <f t="shared" si="8"/>
        <v>0</v>
      </c>
      <c r="I91" s="11">
        <f t="shared" si="9"/>
        <v>-2599130800</v>
      </c>
      <c r="J91" s="53">
        <f t="shared" si="10"/>
        <v>0</v>
      </c>
      <c r="K91" s="53">
        <f t="shared" si="11"/>
        <v>-2599130800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811</v>
      </c>
      <c r="H92" s="36">
        <f t="shared" si="8"/>
        <v>0</v>
      </c>
      <c r="I92" s="11">
        <f t="shared" si="9"/>
        <v>-2595929900</v>
      </c>
      <c r="J92" s="53">
        <f t="shared" si="10"/>
        <v>0</v>
      </c>
      <c r="K92" s="53">
        <f t="shared" si="11"/>
        <v>-2595929900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810</v>
      </c>
      <c r="H93" s="36">
        <f t="shared" si="8"/>
        <v>0</v>
      </c>
      <c r="I93" s="11">
        <f t="shared" si="9"/>
        <v>-2592729000</v>
      </c>
      <c r="J93" s="53">
        <f t="shared" si="10"/>
        <v>0</v>
      </c>
      <c r="K93" s="53">
        <f t="shared" si="11"/>
        <v>-2592729000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809</v>
      </c>
      <c r="H94" s="36">
        <f t="shared" si="8"/>
        <v>0</v>
      </c>
      <c r="I94" s="11">
        <f t="shared" si="9"/>
        <v>-2589528100</v>
      </c>
      <c r="J94" s="53">
        <f t="shared" si="10"/>
        <v>0</v>
      </c>
      <c r="K94" s="53">
        <f t="shared" si="11"/>
        <v>-2589528100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807</v>
      </c>
      <c r="H95" s="36">
        <f t="shared" si="8"/>
        <v>0</v>
      </c>
      <c r="I95" s="11">
        <f t="shared" si="9"/>
        <v>-965652972</v>
      </c>
      <c r="J95" s="53">
        <f t="shared" si="10"/>
        <v>0</v>
      </c>
      <c r="K95" s="53">
        <f t="shared" si="11"/>
        <v>-965652972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797</v>
      </c>
      <c r="H96" s="36">
        <f t="shared" si="8"/>
        <v>0</v>
      </c>
      <c r="I96" s="11">
        <f t="shared" si="9"/>
        <v>-159400000</v>
      </c>
      <c r="J96" s="53">
        <f t="shared" si="10"/>
        <v>0</v>
      </c>
      <c r="K96" s="53">
        <f t="shared" si="11"/>
        <v>-159400000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796</v>
      </c>
      <c r="H97" s="36">
        <f t="shared" si="8"/>
        <v>1</v>
      </c>
      <c r="I97" s="11">
        <f t="shared" si="9"/>
        <v>126848610</v>
      </c>
      <c r="J97" s="53">
        <f t="shared" si="10"/>
        <v>54796170</v>
      </c>
      <c r="K97" s="53">
        <f t="shared" si="11"/>
        <v>72052440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791</v>
      </c>
      <c r="H98" s="36">
        <f t="shared" si="8"/>
        <v>1</v>
      </c>
      <c r="I98" s="11">
        <f t="shared" si="9"/>
        <v>90350720</v>
      </c>
      <c r="J98" s="53">
        <f t="shared" si="10"/>
        <v>0</v>
      </c>
      <c r="K98" s="53">
        <f t="shared" si="11"/>
        <v>90350720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788</v>
      </c>
      <c r="H99" s="36">
        <f t="shared" si="8"/>
        <v>0</v>
      </c>
      <c r="I99" s="11">
        <f t="shared" si="9"/>
        <v>-1044100000</v>
      </c>
      <c r="J99" s="53">
        <f t="shared" si="10"/>
        <v>0</v>
      </c>
      <c r="K99" s="53">
        <f t="shared" si="11"/>
        <v>-1044100000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783</v>
      </c>
      <c r="H100" s="36">
        <f t="shared" si="8"/>
        <v>1</v>
      </c>
      <c r="I100" s="11">
        <f t="shared" si="9"/>
        <v>1036150000</v>
      </c>
      <c r="J100" s="53">
        <f t="shared" si="10"/>
        <v>0</v>
      </c>
      <c r="K100" s="53">
        <f t="shared" si="11"/>
        <v>1036150000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766</v>
      </c>
      <c r="H101" s="36">
        <f t="shared" si="8"/>
        <v>1</v>
      </c>
      <c r="I101" s="11">
        <f t="shared" si="9"/>
        <v>51136425</v>
      </c>
      <c r="J101" s="53">
        <f t="shared" si="10"/>
        <v>51136425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763</v>
      </c>
      <c r="H102" s="36">
        <f t="shared" si="8"/>
        <v>1</v>
      </c>
      <c r="I102" s="11">
        <f t="shared" si="9"/>
        <v>2286000000</v>
      </c>
      <c r="J102" s="53">
        <f t="shared" si="10"/>
        <v>0</v>
      </c>
      <c r="K102" s="53">
        <f t="shared" si="11"/>
        <v>2286000000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756</v>
      </c>
      <c r="H103" s="36">
        <f t="shared" si="8"/>
        <v>0</v>
      </c>
      <c r="I103" s="11">
        <f t="shared" si="9"/>
        <v>-756000000</v>
      </c>
      <c r="J103" s="53">
        <f t="shared" si="10"/>
        <v>-756000000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746</v>
      </c>
      <c r="H104" s="36">
        <f t="shared" si="8"/>
        <v>1</v>
      </c>
      <c r="I104" s="11">
        <f t="shared" si="9"/>
        <v>2235000000</v>
      </c>
      <c r="J104" s="53">
        <f t="shared" si="10"/>
        <v>2235000000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745</v>
      </c>
      <c r="H105" s="36">
        <f t="shared" si="8"/>
        <v>1</v>
      </c>
      <c r="I105" s="11">
        <f t="shared" si="9"/>
        <v>833280000</v>
      </c>
      <c r="J105" s="53">
        <f t="shared" si="10"/>
        <v>833280000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745</v>
      </c>
      <c r="H106" s="36">
        <f t="shared" si="8"/>
        <v>0</v>
      </c>
      <c r="I106" s="11">
        <f t="shared" si="9"/>
        <v>-2235000000</v>
      </c>
      <c r="J106" s="53">
        <f t="shared" si="10"/>
        <v>0</v>
      </c>
      <c r="K106" s="53">
        <f t="shared" si="11"/>
        <v>-2235000000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736</v>
      </c>
      <c r="H107" s="36">
        <f t="shared" si="8"/>
        <v>1</v>
      </c>
      <c r="I107" s="11">
        <f t="shared" si="9"/>
        <v>66513090</v>
      </c>
      <c r="J107" s="53">
        <f t="shared" si="10"/>
        <v>55209525</v>
      </c>
      <c r="K107" s="53">
        <f t="shared" si="11"/>
        <v>11303565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734</v>
      </c>
      <c r="H108" s="36">
        <f t="shared" si="8"/>
        <v>0</v>
      </c>
      <c r="I108" s="11">
        <f t="shared" si="9"/>
        <v>-1248313800</v>
      </c>
      <c r="J108" s="53">
        <f t="shared" si="10"/>
        <v>0</v>
      </c>
      <c r="K108" s="53">
        <f t="shared" si="11"/>
        <v>-1248313800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730</v>
      </c>
      <c r="H109" s="36">
        <f t="shared" si="8"/>
        <v>0</v>
      </c>
      <c r="I109" s="11">
        <f t="shared" si="9"/>
        <v>-730365000</v>
      </c>
      <c r="J109" s="53">
        <f t="shared" si="10"/>
        <v>0</v>
      </c>
      <c r="K109" s="53">
        <f t="shared" si="11"/>
        <v>-730365000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727</v>
      </c>
      <c r="H110" s="36">
        <f t="shared" si="8"/>
        <v>1</v>
      </c>
      <c r="I110" s="11">
        <f t="shared" si="9"/>
        <v>14520000000</v>
      </c>
      <c r="J110" s="53">
        <f t="shared" si="10"/>
        <v>0</v>
      </c>
      <c r="K110" s="53">
        <f t="shared" si="11"/>
        <v>14520000000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707</v>
      </c>
      <c r="H111" s="36">
        <f t="shared" si="8"/>
        <v>1</v>
      </c>
      <c r="I111" s="11">
        <f t="shared" si="9"/>
        <v>123322668</v>
      </c>
      <c r="J111" s="53">
        <f t="shared" si="10"/>
        <v>61678278</v>
      </c>
      <c r="K111" s="53">
        <f t="shared" si="11"/>
        <v>61644390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691</v>
      </c>
      <c r="H112" s="36">
        <f t="shared" si="8"/>
        <v>0</v>
      </c>
      <c r="I112" s="11">
        <f t="shared" si="9"/>
        <v>-19624400000</v>
      </c>
      <c r="J112" s="53">
        <f t="shared" si="10"/>
        <v>0</v>
      </c>
      <c r="K112" s="53">
        <f t="shared" si="11"/>
        <v>-19624400000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676</v>
      </c>
      <c r="H113" s="36">
        <f t="shared" si="8"/>
        <v>1</v>
      </c>
      <c r="I113" s="11">
        <f t="shared" si="9"/>
        <v>110052000</v>
      </c>
      <c r="J113" s="53">
        <f t="shared" si="10"/>
        <v>82694925</v>
      </c>
      <c r="K113" s="53">
        <f t="shared" si="11"/>
        <v>27357075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676</v>
      </c>
      <c r="H114" s="36">
        <f t="shared" si="8"/>
        <v>0</v>
      </c>
      <c r="I114" s="11">
        <f t="shared" si="9"/>
        <v>-3853200</v>
      </c>
      <c r="J114" s="53">
        <f t="shared" si="10"/>
        <v>-1690000</v>
      </c>
      <c r="K114" s="53">
        <f t="shared" si="11"/>
        <v>-2163200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663</v>
      </c>
      <c r="H115" s="36">
        <f t="shared" si="8"/>
        <v>0</v>
      </c>
      <c r="I115" s="11">
        <f t="shared" si="9"/>
        <v>0</v>
      </c>
      <c r="J115" s="53">
        <f t="shared" si="10"/>
        <v>331500000</v>
      </c>
      <c r="K115" s="53">
        <f t="shared" si="11"/>
        <v>-331500000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655</v>
      </c>
      <c r="H116" s="36">
        <f t="shared" si="8"/>
        <v>0</v>
      </c>
      <c r="I116" s="11">
        <f t="shared" si="9"/>
        <v>-104800000</v>
      </c>
      <c r="J116" s="53">
        <f t="shared" si="10"/>
        <v>0</v>
      </c>
      <c r="K116" s="53">
        <f t="shared" si="11"/>
        <v>-104800000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646</v>
      </c>
      <c r="H117" s="36">
        <f t="shared" si="8"/>
        <v>1</v>
      </c>
      <c r="I117" s="11">
        <f t="shared" si="9"/>
        <v>954600</v>
      </c>
      <c r="J117" s="53">
        <f t="shared" si="10"/>
        <v>68976945</v>
      </c>
      <c r="K117" s="53">
        <f t="shared" si="11"/>
        <v>-68022345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624</v>
      </c>
      <c r="H118" s="36">
        <f t="shared" si="8"/>
        <v>1</v>
      </c>
      <c r="I118" s="11">
        <f t="shared" si="9"/>
        <v>24545888500</v>
      </c>
      <c r="J118" s="53">
        <f t="shared" si="10"/>
        <v>0</v>
      </c>
      <c r="K118" s="53">
        <f t="shared" si="11"/>
        <v>24545888500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615</v>
      </c>
      <c r="H119" s="36">
        <f t="shared" si="8"/>
        <v>1</v>
      </c>
      <c r="I119" s="11">
        <f t="shared" si="9"/>
        <v>58649894</v>
      </c>
      <c r="J119" s="53">
        <f t="shared" si="10"/>
        <v>67573156</v>
      </c>
      <c r="K119" s="53">
        <f t="shared" si="11"/>
        <v>-8923262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611</v>
      </c>
      <c r="H120" s="11">
        <f t="shared" si="8"/>
        <v>1</v>
      </c>
      <c r="I120" s="11">
        <f t="shared" ref="I120:I296" si="13">B120*(G120-H120)</f>
        <v>1220000000</v>
      </c>
      <c r="J120" s="11">
        <f t="shared" si="10"/>
        <v>0</v>
      </c>
      <c r="K120" s="11">
        <f t="shared" si="11"/>
        <v>1220000000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585</v>
      </c>
      <c r="H121" s="11">
        <f t="shared" si="8"/>
        <v>1</v>
      </c>
      <c r="I121" s="11">
        <f t="shared" si="13"/>
        <v>1518400000</v>
      </c>
      <c r="J121" s="11">
        <f t="shared" si="10"/>
        <v>0</v>
      </c>
      <c r="K121" s="11">
        <f t="shared" si="11"/>
        <v>1518400000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584</v>
      </c>
      <c r="H122" s="11">
        <f t="shared" si="8"/>
        <v>1</v>
      </c>
      <c r="I122" s="11">
        <f t="shared" si="13"/>
        <v>224193233</v>
      </c>
      <c r="J122" s="11">
        <f t="shared" si="10"/>
        <v>64659364</v>
      </c>
      <c r="K122" s="11">
        <f t="shared" si="11"/>
        <v>159533869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583</v>
      </c>
      <c r="H123" s="11">
        <f t="shared" si="8"/>
        <v>0</v>
      </c>
      <c r="I123" s="11">
        <f t="shared" si="13"/>
        <v>0</v>
      </c>
      <c r="J123" s="11">
        <f t="shared" si="10"/>
        <v>466400000</v>
      </c>
      <c r="K123" s="11">
        <f t="shared" si="11"/>
        <v>-466400000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569</v>
      </c>
      <c r="H124" s="11">
        <f t="shared" si="8"/>
        <v>0</v>
      </c>
      <c r="I124" s="11">
        <f t="shared" si="13"/>
        <v>-1707000000</v>
      </c>
      <c r="J124" s="11">
        <f t="shared" si="10"/>
        <v>0</v>
      </c>
      <c r="K124" s="11">
        <f t="shared" si="11"/>
        <v>-1707000000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554</v>
      </c>
      <c r="H125" s="11">
        <f t="shared" si="8"/>
        <v>1</v>
      </c>
      <c r="I125" s="11">
        <f t="shared" si="13"/>
        <v>221592630</v>
      </c>
      <c r="J125" s="11">
        <f t="shared" si="10"/>
        <v>65737875</v>
      </c>
      <c r="K125" s="11">
        <f t="shared" si="11"/>
        <v>155854755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554</v>
      </c>
      <c r="H126" s="11">
        <f t="shared" si="8"/>
        <v>1</v>
      </c>
      <c r="I126" s="11">
        <f t="shared" si="13"/>
        <v>23226000000</v>
      </c>
      <c r="J126" s="11">
        <f t="shared" si="10"/>
        <v>0</v>
      </c>
      <c r="K126" s="11">
        <f t="shared" si="11"/>
        <v>23226000000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529</v>
      </c>
      <c r="H127" s="11">
        <f t="shared" si="8"/>
        <v>0</v>
      </c>
      <c r="I127" s="11">
        <f t="shared" si="13"/>
        <v>-2645000</v>
      </c>
      <c r="J127" s="11">
        <f t="shared" si="10"/>
        <v>0</v>
      </c>
      <c r="K127" s="11">
        <f t="shared" si="11"/>
        <v>-2645000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523</v>
      </c>
      <c r="H128" s="11">
        <f t="shared" si="8"/>
        <v>1</v>
      </c>
      <c r="I128" s="11">
        <f t="shared" si="13"/>
        <v>402657228</v>
      </c>
      <c r="J128" s="11">
        <f t="shared" si="10"/>
        <v>63003834</v>
      </c>
      <c r="K128" s="11">
        <f t="shared" si="11"/>
        <v>339653394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520</v>
      </c>
      <c r="H129" s="11">
        <f t="shared" si="8"/>
        <v>1</v>
      </c>
      <c r="I129" s="11">
        <f t="shared" si="13"/>
        <v>1297500000</v>
      </c>
      <c r="J129" s="11">
        <f t="shared" si="10"/>
        <v>0</v>
      </c>
      <c r="K129" s="11">
        <f t="shared" si="11"/>
        <v>1297500000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506</v>
      </c>
      <c r="H130" s="11">
        <f t="shared" si="8"/>
        <v>0</v>
      </c>
      <c r="I130" s="11">
        <f t="shared" si="13"/>
        <v>-506000000</v>
      </c>
      <c r="J130" s="11">
        <f t="shared" si="10"/>
        <v>-506000000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501</v>
      </c>
      <c r="H131" s="11">
        <f t="shared" si="8"/>
        <v>0</v>
      </c>
      <c r="I131" s="11">
        <f t="shared" si="13"/>
        <v>-25050000000</v>
      </c>
      <c r="J131" s="11">
        <f t="shared" si="10"/>
        <v>0</v>
      </c>
      <c r="K131" s="11">
        <f t="shared" si="11"/>
        <v>-25050000000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493</v>
      </c>
      <c r="H132" s="11">
        <f t="shared" ref="H132:H308" si="15">IF(B132&gt;0,1,0)</f>
        <v>1</v>
      </c>
      <c r="I132" s="11">
        <f t="shared" si="13"/>
        <v>302229204</v>
      </c>
      <c r="J132" s="11">
        <f t="shared" ref="J132:J206" si="16">C132*(G132-H132)</f>
        <v>52137732</v>
      </c>
      <c r="K132" s="11">
        <f t="shared" ref="K132:K281" si="17">D132*(G132-H132)</f>
        <v>250091472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489</v>
      </c>
      <c r="H133" s="11">
        <f t="shared" si="15"/>
        <v>0</v>
      </c>
      <c r="I133" s="11">
        <f t="shared" si="13"/>
        <v>-592032300</v>
      </c>
      <c r="J133" s="11">
        <f t="shared" si="16"/>
        <v>0</v>
      </c>
      <c r="K133" s="11">
        <f t="shared" si="17"/>
        <v>-592032300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480</v>
      </c>
      <c r="H134" s="11">
        <f t="shared" si="15"/>
        <v>0</v>
      </c>
      <c r="I134" s="11">
        <f t="shared" si="13"/>
        <v>-31200000</v>
      </c>
      <c r="J134" s="11">
        <f t="shared" si="16"/>
        <v>0</v>
      </c>
      <c r="K134" s="11">
        <f t="shared" si="17"/>
        <v>-31200000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480</v>
      </c>
      <c r="H135" s="11">
        <f t="shared" si="15"/>
        <v>0</v>
      </c>
      <c r="I135" s="11">
        <f t="shared" si="13"/>
        <v>-15504000</v>
      </c>
      <c r="J135" s="11">
        <f t="shared" si="16"/>
        <v>0</v>
      </c>
      <c r="K135" s="11">
        <f t="shared" si="17"/>
        <v>-15504000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472</v>
      </c>
      <c r="H136" s="11">
        <f t="shared" si="15"/>
        <v>0</v>
      </c>
      <c r="I136" s="11">
        <f t="shared" si="13"/>
        <v>-472000000</v>
      </c>
      <c r="J136" s="11">
        <f t="shared" si="16"/>
        <v>-472000000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463</v>
      </c>
      <c r="H137" s="11">
        <f t="shared" si="15"/>
        <v>1</v>
      </c>
      <c r="I137" s="11">
        <f t="shared" si="13"/>
        <v>134383326</v>
      </c>
      <c r="J137" s="11">
        <f t="shared" si="16"/>
        <v>44979858</v>
      </c>
      <c r="K137" s="11">
        <f t="shared" si="17"/>
        <v>89403468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446</v>
      </c>
      <c r="H138" s="11">
        <f t="shared" si="15"/>
        <v>0</v>
      </c>
      <c r="I138" s="11">
        <f t="shared" si="13"/>
        <v>-446223000</v>
      </c>
      <c r="J138" s="11">
        <f t="shared" si="16"/>
        <v>-446223000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434</v>
      </c>
      <c r="H139" s="11">
        <f t="shared" si="15"/>
        <v>1</v>
      </c>
      <c r="I139" s="11">
        <f t="shared" si="13"/>
        <v>122209920</v>
      </c>
      <c r="J139" s="11">
        <f t="shared" si="16"/>
        <v>38453431</v>
      </c>
      <c r="K139" s="11">
        <f t="shared" si="17"/>
        <v>83756489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431</v>
      </c>
      <c r="H140" s="11">
        <f t="shared" si="15"/>
        <v>1</v>
      </c>
      <c r="I140" s="11">
        <f t="shared" si="13"/>
        <v>645000000</v>
      </c>
      <c r="J140" s="11">
        <f t="shared" si="16"/>
        <v>0</v>
      </c>
      <c r="K140" s="11">
        <f t="shared" si="17"/>
        <v>645000000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418</v>
      </c>
      <c r="H141" s="11">
        <f t="shared" si="15"/>
        <v>0</v>
      </c>
      <c r="I141" s="11">
        <f t="shared" si="13"/>
        <v>0</v>
      </c>
      <c r="J141" s="11">
        <f t="shared" si="16"/>
        <v>-418000000</v>
      </c>
      <c r="K141" s="11">
        <f t="shared" si="17"/>
        <v>418000000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404</v>
      </c>
      <c r="H142" s="11">
        <f t="shared" si="15"/>
        <v>1</v>
      </c>
      <c r="I142" s="11">
        <f t="shared" si="13"/>
        <v>117229879</v>
      </c>
      <c r="J142" s="11">
        <f t="shared" si="16"/>
        <v>32651866</v>
      </c>
      <c r="K142" s="11">
        <f t="shared" si="17"/>
        <v>84578013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384</v>
      </c>
      <c r="H143" s="11">
        <f t="shared" si="15"/>
        <v>0</v>
      </c>
      <c r="I143" s="11">
        <f t="shared" si="13"/>
        <v>0</v>
      </c>
      <c r="J143" s="11">
        <f t="shared" si="16"/>
        <v>-384000000</v>
      </c>
      <c r="K143" s="11">
        <f t="shared" si="17"/>
        <v>384000000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374</v>
      </c>
      <c r="H144" s="11">
        <f t="shared" si="15"/>
        <v>1</v>
      </c>
      <c r="I144" s="11">
        <f t="shared" si="13"/>
        <v>109979796</v>
      </c>
      <c r="J144" s="11">
        <f t="shared" si="16"/>
        <v>27847061</v>
      </c>
      <c r="K144" s="11">
        <f t="shared" si="17"/>
        <v>82132735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359</v>
      </c>
      <c r="H145" s="11">
        <f t="shared" si="15"/>
        <v>0</v>
      </c>
      <c r="I145" s="11">
        <f t="shared" si="13"/>
        <v>-3590000</v>
      </c>
      <c r="J145" s="11">
        <f t="shared" si="16"/>
        <v>-1795000</v>
      </c>
      <c r="K145" s="11">
        <f t="shared" si="17"/>
        <v>-1795000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354</v>
      </c>
      <c r="H146" s="11">
        <f t="shared" si="15"/>
        <v>0</v>
      </c>
      <c r="I146" s="11">
        <f t="shared" si="13"/>
        <v>-354177000</v>
      </c>
      <c r="J146" s="11">
        <f t="shared" si="16"/>
        <v>-354177000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348</v>
      </c>
      <c r="H147" s="11">
        <f t="shared" si="15"/>
        <v>0</v>
      </c>
      <c r="I147" s="11">
        <f t="shared" si="13"/>
        <v>-9396000000</v>
      </c>
      <c r="J147" s="11">
        <f t="shared" si="16"/>
        <v>0</v>
      </c>
      <c r="K147" s="11">
        <f t="shared" si="17"/>
        <v>-9396000000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345</v>
      </c>
      <c r="H148" s="11">
        <f t="shared" si="15"/>
        <v>1</v>
      </c>
      <c r="I148" s="11">
        <f t="shared" si="13"/>
        <v>86837984</v>
      </c>
      <c r="J148" s="11">
        <f t="shared" si="16"/>
        <v>22535440</v>
      </c>
      <c r="K148" s="11">
        <f t="shared" si="17"/>
        <v>64302544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25" si="18">B149-C149</f>
        <v>52400000</v>
      </c>
      <c r="E149" s="11" t="s">
        <v>1074</v>
      </c>
      <c r="F149" s="11">
        <v>7</v>
      </c>
      <c r="G149" s="36">
        <f t="shared" si="14"/>
        <v>337</v>
      </c>
      <c r="H149" s="11">
        <f t="shared" si="15"/>
        <v>1</v>
      </c>
      <c r="I149" s="11">
        <f t="shared" si="13"/>
        <v>17606400000</v>
      </c>
      <c r="J149" s="11">
        <f t="shared" si="16"/>
        <v>0</v>
      </c>
      <c r="K149" s="11">
        <f t="shared" si="17"/>
        <v>17606400000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330</v>
      </c>
      <c r="H150" s="11">
        <f t="shared" si="15"/>
        <v>0</v>
      </c>
      <c r="I150" s="11">
        <f t="shared" si="13"/>
        <v>-17160000000</v>
      </c>
      <c r="J150" s="11">
        <f t="shared" si="16"/>
        <v>0</v>
      </c>
      <c r="K150" s="11">
        <f t="shared" si="17"/>
        <v>-17160000000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325</v>
      </c>
      <c r="H151" s="99">
        <f t="shared" si="15"/>
        <v>0</v>
      </c>
      <c r="I151" s="99">
        <f t="shared" si="13"/>
        <v>-2600000000</v>
      </c>
      <c r="J151" s="99">
        <f t="shared" si="16"/>
        <v>-2200942575</v>
      </c>
      <c r="K151" s="11">
        <f t="shared" si="17"/>
        <v>-399057425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325</v>
      </c>
      <c r="H152" s="99">
        <f t="shared" si="15"/>
        <v>0</v>
      </c>
      <c r="I152" s="99">
        <f t="shared" si="13"/>
        <v>-10149750</v>
      </c>
      <c r="J152" s="99">
        <f t="shared" si="16"/>
        <v>0</v>
      </c>
      <c r="K152" s="99">
        <f t="shared" si="17"/>
        <v>-10149750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314</v>
      </c>
      <c r="H153" s="99">
        <f t="shared" si="15"/>
        <v>1</v>
      </c>
      <c r="I153" s="99">
        <f t="shared" si="13"/>
        <v>42282231</v>
      </c>
      <c r="J153" s="99">
        <f t="shared" si="16"/>
        <v>12873690</v>
      </c>
      <c r="K153" s="99">
        <f t="shared" si="17"/>
        <v>29408541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311</v>
      </c>
      <c r="H154" s="99">
        <f t="shared" si="15"/>
        <v>1</v>
      </c>
      <c r="I154" s="99">
        <f t="shared" si="13"/>
        <v>2115465420</v>
      </c>
      <c r="J154" s="99">
        <f t="shared" si="16"/>
        <v>2115465420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306</v>
      </c>
      <c r="H155" s="99">
        <f t="shared" si="15"/>
        <v>0</v>
      </c>
      <c r="I155" s="99">
        <f t="shared" si="13"/>
        <v>-61200000</v>
      </c>
      <c r="J155" s="99">
        <f t="shared" si="16"/>
        <v>0</v>
      </c>
      <c r="K155" s="99">
        <f t="shared" si="17"/>
        <v>-61200000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306</v>
      </c>
      <c r="H156" s="99">
        <f t="shared" si="15"/>
        <v>0</v>
      </c>
      <c r="I156" s="99">
        <f t="shared" si="13"/>
        <v>-75839040</v>
      </c>
      <c r="J156" s="99">
        <f t="shared" si="16"/>
        <v>0</v>
      </c>
      <c r="K156" s="99">
        <f t="shared" si="17"/>
        <v>-75839040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305</v>
      </c>
      <c r="H157" s="99">
        <f t="shared" si="15"/>
        <v>0</v>
      </c>
      <c r="I157" s="99">
        <f t="shared" si="13"/>
        <v>-49513700</v>
      </c>
      <c r="J157" s="99">
        <f t="shared" si="16"/>
        <v>0</v>
      </c>
      <c r="K157" s="99">
        <f t="shared" si="17"/>
        <v>-49513700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305</v>
      </c>
      <c r="H158" s="99">
        <f t="shared" si="15"/>
        <v>0</v>
      </c>
      <c r="I158" s="99">
        <f t="shared" si="13"/>
        <v>-915274500</v>
      </c>
      <c r="J158" s="99">
        <f t="shared" si="16"/>
        <v>0</v>
      </c>
      <c r="K158" s="99">
        <f t="shared" si="17"/>
        <v>-915274500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303</v>
      </c>
      <c r="H159" s="99">
        <f t="shared" si="15"/>
        <v>0</v>
      </c>
      <c r="I159" s="99">
        <f t="shared" si="13"/>
        <v>-303151500</v>
      </c>
      <c r="J159" s="99">
        <f t="shared" si="16"/>
        <v>0</v>
      </c>
      <c r="K159" s="99">
        <f t="shared" si="17"/>
        <v>-303151500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299</v>
      </c>
      <c r="H160" s="99">
        <f t="shared" si="15"/>
        <v>0</v>
      </c>
      <c r="I160" s="99">
        <f t="shared" si="13"/>
        <v>-29900000</v>
      </c>
      <c r="J160" s="99">
        <f t="shared" si="16"/>
        <v>0</v>
      </c>
      <c r="K160" s="99">
        <f t="shared" si="17"/>
        <v>-29900000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298</v>
      </c>
      <c r="H161" s="99">
        <f t="shared" si="15"/>
        <v>0</v>
      </c>
      <c r="I161" s="99">
        <f t="shared" si="13"/>
        <v>-596000000</v>
      </c>
      <c r="J161" s="99">
        <f t="shared" si="16"/>
        <v>0</v>
      </c>
      <c r="K161" s="99">
        <f t="shared" si="17"/>
        <v>-596000000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298</v>
      </c>
      <c r="H162" s="99">
        <f t="shared" si="15"/>
        <v>0</v>
      </c>
      <c r="I162" s="99">
        <f t="shared" si="13"/>
        <v>-298149000</v>
      </c>
      <c r="J162" s="99">
        <f t="shared" si="16"/>
        <v>0</v>
      </c>
      <c r="K162" s="99">
        <f t="shared" si="17"/>
        <v>-298149000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295</v>
      </c>
      <c r="H163" s="99">
        <f t="shared" si="15"/>
        <v>0</v>
      </c>
      <c r="I163" s="99">
        <f t="shared" si="13"/>
        <v>-1475000</v>
      </c>
      <c r="J163" s="99">
        <f t="shared" si="16"/>
        <v>0</v>
      </c>
      <c r="K163" s="99">
        <f t="shared" si="17"/>
        <v>-1475000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285</v>
      </c>
      <c r="H164" s="99">
        <f t="shared" si="15"/>
        <v>1</v>
      </c>
      <c r="I164" s="99">
        <f t="shared" si="13"/>
        <v>852000000</v>
      </c>
      <c r="J164" s="99">
        <f t="shared" si="16"/>
        <v>0</v>
      </c>
      <c r="K164" s="99">
        <f t="shared" si="17"/>
        <v>852000000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284</v>
      </c>
      <c r="H165" s="99">
        <f t="shared" si="15"/>
        <v>1</v>
      </c>
      <c r="I165" s="99">
        <f t="shared" si="13"/>
        <v>849000000</v>
      </c>
      <c r="J165" s="99">
        <f t="shared" si="16"/>
        <v>0</v>
      </c>
      <c r="K165" s="99">
        <f t="shared" si="17"/>
        <v>849000000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283</v>
      </c>
      <c r="H166" s="99">
        <f t="shared" si="15"/>
        <v>1</v>
      </c>
      <c r="I166" s="99">
        <f t="shared" si="13"/>
        <v>5728548</v>
      </c>
      <c r="J166" s="99">
        <f t="shared" si="16"/>
        <v>16875444</v>
      </c>
      <c r="K166" s="99">
        <f t="shared" si="17"/>
        <v>-11146896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278</v>
      </c>
      <c r="H167" s="99">
        <f t="shared" si="15"/>
        <v>0</v>
      </c>
      <c r="I167" s="99">
        <f t="shared" si="13"/>
        <v>-834250200</v>
      </c>
      <c r="J167" s="99">
        <f t="shared" si="16"/>
        <v>0</v>
      </c>
      <c r="K167" s="99">
        <f t="shared" si="17"/>
        <v>-834250200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260</v>
      </c>
      <c r="H168" s="99">
        <f t="shared" si="15"/>
        <v>0</v>
      </c>
      <c r="I168" s="99">
        <f t="shared" si="13"/>
        <v>-780234000</v>
      </c>
      <c r="J168" s="99">
        <f t="shared" si="16"/>
        <v>0</v>
      </c>
      <c r="K168" s="99">
        <f t="shared" si="17"/>
        <v>-780234000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252</v>
      </c>
      <c r="H169" s="99">
        <f t="shared" si="15"/>
        <v>1</v>
      </c>
      <c r="I169" s="99">
        <f t="shared" si="13"/>
        <v>5447955</v>
      </c>
      <c r="J169" s="99">
        <f t="shared" si="16"/>
        <v>17197265</v>
      </c>
      <c r="K169" s="99">
        <f t="shared" si="17"/>
        <v>-11749310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228</v>
      </c>
      <c r="H170" s="99">
        <f t="shared" si="15"/>
        <v>1</v>
      </c>
      <c r="I170" s="99">
        <f t="shared" si="13"/>
        <v>1135000000</v>
      </c>
      <c r="J170" s="99">
        <f t="shared" si="16"/>
        <v>0</v>
      </c>
      <c r="K170" s="99">
        <f t="shared" si="17"/>
        <v>1135000000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227</v>
      </c>
      <c r="H171" s="99">
        <f t="shared" si="15"/>
        <v>0</v>
      </c>
      <c r="I171" s="99">
        <f t="shared" si="13"/>
        <v>-1135000000</v>
      </c>
      <c r="J171" s="99">
        <f t="shared" si="16"/>
        <v>0</v>
      </c>
      <c r="K171" s="99">
        <f t="shared" si="17"/>
        <v>-1135000000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221</v>
      </c>
      <c r="H172" s="99">
        <f t="shared" si="15"/>
        <v>1</v>
      </c>
      <c r="I172" s="99">
        <f t="shared" si="13"/>
        <v>109120</v>
      </c>
      <c r="J172" s="99">
        <f t="shared" si="16"/>
        <v>13789820</v>
      </c>
      <c r="K172" s="99">
        <f t="shared" si="17"/>
        <v>-13680700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220</v>
      </c>
      <c r="H173" s="99">
        <f t="shared" si="15"/>
        <v>1</v>
      </c>
      <c r="I173" s="99">
        <f t="shared" si="13"/>
        <v>171915000</v>
      </c>
      <c r="J173" s="99">
        <f t="shared" si="16"/>
        <v>0</v>
      </c>
      <c r="K173" s="99">
        <f t="shared" si="17"/>
        <v>171915000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209</v>
      </c>
      <c r="H174" s="99">
        <f t="shared" si="15"/>
        <v>0</v>
      </c>
      <c r="I174" s="99">
        <f t="shared" si="13"/>
        <v>-6688000</v>
      </c>
      <c r="J174" s="99">
        <f t="shared" si="16"/>
        <v>0</v>
      </c>
      <c r="K174" s="99">
        <f t="shared" si="17"/>
        <v>-6688000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207</v>
      </c>
      <c r="H175" s="99">
        <f t="shared" si="15"/>
        <v>0</v>
      </c>
      <c r="I175" s="99">
        <f t="shared" si="13"/>
        <v>-155250000</v>
      </c>
      <c r="J175" s="99">
        <f t="shared" si="16"/>
        <v>0</v>
      </c>
      <c r="K175" s="99">
        <f t="shared" si="17"/>
        <v>-155250000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198</v>
      </c>
      <c r="H176" s="99">
        <f t="shared" si="15"/>
        <v>0</v>
      </c>
      <c r="I176" s="99">
        <f t="shared" si="13"/>
        <v>-1860408</v>
      </c>
      <c r="J176" s="99">
        <f t="shared" si="16"/>
        <v>0</v>
      </c>
      <c r="K176" s="99">
        <f t="shared" si="17"/>
        <v>-1860408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197</v>
      </c>
      <c r="H177" s="99">
        <f t="shared" si="15"/>
        <v>0</v>
      </c>
      <c r="I177" s="99">
        <f t="shared" si="13"/>
        <v>-8530100</v>
      </c>
      <c r="J177" s="99">
        <f t="shared" si="16"/>
        <v>0</v>
      </c>
      <c r="K177" s="99">
        <f t="shared" si="17"/>
        <v>-8530100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194</v>
      </c>
      <c r="H178" s="99">
        <f t="shared" si="15"/>
        <v>1</v>
      </c>
      <c r="I178" s="99">
        <f t="shared" si="13"/>
        <v>69480000</v>
      </c>
      <c r="J178" s="99">
        <f t="shared" si="16"/>
        <v>0</v>
      </c>
      <c r="K178" s="99">
        <f t="shared" si="17"/>
        <v>69480000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192</v>
      </c>
      <c r="H179" s="99">
        <f t="shared" si="15"/>
        <v>1</v>
      </c>
      <c r="I179" s="99">
        <f t="shared" si="13"/>
        <v>573000000</v>
      </c>
      <c r="J179" s="99">
        <f t="shared" si="16"/>
        <v>0</v>
      </c>
      <c r="K179" s="99">
        <f t="shared" si="17"/>
        <v>573000000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192</v>
      </c>
      <c r="H180" s="99">
        <f t="shared" si="15"/>
        <v>0</v>
      </c>
      <c r="I180" s="99">
        <f t="shared" si="13"/>
        <v>-2313600</v>
      </c>
      <c r="J180" s="99">
        <f t="shared" si="16"/>
        <v>0</v>
      </c>
      <c r="K180" s="99">
        <f t="shared" si="17"/>
        <v>-2313600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190</v>
      </c>
      <c r="H181" s="99">
        <f t="shared" si="15"/>
        <v>1</v>
      </c>
      <c r="I181" s="99">
        <f t="shared" si="13"/>
        <v>567000000</v>
      </c>
      <c r="J181" s="99">
        <f t="shared" si="16"/>
        <v>0</v>
      </c>
      <c r="K181" s="99">
        <f t="shared" si="17"/>
        <v>567000000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188</v>
      </c>
      <c r="H182" s="99">
        <f t="shared" si="15"/>
        <v>0</v>
      </c>
      <c r="I182" s="99">
        <f t="shared" si="13"/>
        <v>-6730400</v>
      </c>
      <c r="J182" s="99">
        <f t="shared" si="16"/>
        <v>0</v>
      </c>
      <c r="K182" s="99">
        <f t="shared" si="17"/>
        <v>-6730400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187</v>
      </c>
      <c r="H183" s="99">
        <f t="shared" si="15"/>
        <v>1</v>
      </c>
      <c r="I183" s="99">
        <f t="shared" si="13"/>
        <v>669600000</v>
      </c>
      <c r="J183" s="99">
        <f t="shared" si="16"/>
        <v>0</v>
      </c>
      <c r="K183" s="99">
        <f t="shared" si="17"/>
        <v>669600000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187</v>
      </c>
      <c r="H184" s="99">
        <f t="shared" si="15"/>
        <v>0</v>
      </c>
      <c r="I184" s="99">
        <f t="shared" si="13"/>
        <v>-6241499</v>
      </c>
      <c r="J184" s="99">
        <f t="shared" si="16"/>
        <v>0</v>
      </c>
      <c r="K184" s="99">
        <f t="shared" si="17"/>
        <v>-6241499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184</v>
      </c>
      <c r="H185" s="99">
        <f t="shared" si="15"/>
        <v>0</v>
      </c>
      <c r="I185" s="99">
        <f t="shared" si="13"/>
        <v>-1803200000</v>
      </c>
      <c r="J185" s="99">
        <f t="shared" si="16"/>
        <v>0</v>
      </c>
      <c r="K185" s="99">
        <f t="shared" si="17"/>
        <v>-1803200000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184</v>
      </c>
      <c r="H186" s="99">
        <f t="shared" si="15"/>
        <v>1</v>
      </c>
      <c r="I186" s="99">
        <f t="shared" si="13"/>
        <v>3294000000</v>
      </c>
      <c r="J186" s="99">
        <f t="shared" si="16"/>
        <v>0</v>
      </c>
      <c r="K186" s="99">
        <f t="shared" si="17"/>
        <v>3294000000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184</v>
      </c>
      <c r="H187" s="99">
        <f t="shared" si="15"/>
        <v>0</v>
      </c>
      <c r="I187" s="99">
        <f t="shared" si="13"/>
        <v>-1656000000</v>
      </c>
      <c r="J187" s="99">
        <f t="shared" si="16"/>
        <v>0</v>
      </c>
      <c r="K187" s="99">
        <f t="shared" si="17"/>
        <v>-1656000000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184</v>
      </c>
      <c r="H188" s="99">
        <f t="shared" si="15"/>
        <v>0</v>
      </c>
      <c r="I188" s="99">
        <f t="shared" si="13"/>
        <v>-2134400</v>
      </c>
      <c r="J188" s="99">
        <f t="shared" si="16"/>
        <v>0</v>
      </c>
      <c r="K188" s="99">
        <f t="shared" si="17"/>
        <v>-2134400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184</v>
      </c>
      <c r="H189" s="99">
        <f t="shared" si="15"/>
        <v>0</v>
      </c>
      <c r="I189" s="99">
        <f t="shared" si="13"/>
        <v>-607996168</v>
      </c>
      <c r="J189" s="99">
        <f t="shared" si="16"/>
        <v>0</v>
      </c>
      <c r="K189" s="99">
        <f t="shared" si="17"/>
        <v>-607996168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183</v>
      </c>
      <c r="H190" s="99">
        <f t="shared" si="15"/>
        <v>0</v>
      </c>
      <c r="I190" s="99">
        <f t="shared" si="13"/>
        <v>-549164700</v>
      </c>
      <c r="J190" s="99">
        <f t="shared" si="16"/>
        <v>0</v>
      </c>
      <c r="K190" s="99">
        <f t="shared" si="17"/>
        <v>-549164700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182</v>
      </c>
      <c r="H191" s="99">
        <f t="shared" si="15"/>
        <v>0</v>
      </c>
      <c r="I191" s="99">
        <f t="shared" si="13"/>
        <v>-502483800</v>
      </c>
      <c r="J191" s="99">
        <f t="shared" si="16"/>
        <v>0</v>
      </c>
      <c r="K191" s="99">
        <f t="shared" si="17"/>
        <v>-502483800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177</v>
      </c>
      <c r="H192" s="99">
        <f t="shared" si="15"/>
        <v>1</v>
      </c>
      <c r="I192" s="99">
        <f t="shared" si="13"/>
        <v>176000000</v>
      </c>
      <c r="J192" s="99">
        <f t="shared" si="16"/>
        <v>0</v>
      </c>
      <c r="K192" s="99">
        <f t="shared" si="17"/>
        <v>176000000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176</v>
      </c>
      <c r="H193" s="99">
        <f t="shared" si="15"/>
        <v>0</v>
      </c>
      <c r="I193" s="99">
        <f t="shared" si="13"/>
        <v>-2640000</v>
      </c>
      <c r="J193" s="99">
        <f t="shared" si="16"/>
        <v>0</v>
      </c>
      <c r="K193" s="99">
        <f t="shared" si="17"/>
        <v>-2640000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174</v>
      </c>
      <c r="H194" s="99">
        <f t="shared" si="15"/>
        <v>0</v>
      </c>
      <c r="I194" s="99">
        <f t="shared" si="13"/>
        <v>-172260000</v>
      </c>
      <c r="J194" s="99">
        <f t="shared" si="16"/>
        <v>0</v>
      </c>
      <c r="K194" s="99">
        <f t="shared" si="17"/>
        <v>-172260000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174</v>
      </c>
      <c r="H195" s="99">
        <f t="shared" si="15"/>
        <v>1</v>
      </c>
      <c r="I195" s="99">
        <f t="shared" si="13"/>
        <v>135459000</v>
      </c>
      <c r="J195" s="99">
        <f t="shared" si="16"/>
        <v>0</v>
      </c>
      <c r="K195" s="99">
        <f t="shared" si="17"/>
        <v>135459000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172</v>
      </c>
      <c r="H196" s="99">
        <f t="shared" si="15"/>
        <v>0</v>
      </c>
      <c r="I196" s="99">
        <f t="shared" si="13"/>
        <v>-129086000</v>
      </c>
      <c r="J196" s="99">
        <f t="shared" si="16"/>
        <v>0</v>
      </c>
      <c r="K196" s="99">
        <f t="shared" si="17"/>
        <v>-129086000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170</v>
      </c>
      <c r="H197" s="99">
        <f t="shared" si="15"/>
        <v>1</v>
      </c>
      <c r="I197" s="99">
        <f t="shared" si="13"/>
        <v>118300000</v>
      </c>
      <c r="J197" s="99">
        <f t="shared" si="16"/>
        <v>0</v>
      </c>
      <c r="K197" s="99">
        <f t="shared" si="17"/>
        <v>118300000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170</v>
      </c>
      <c r="H198" s="99">
        <f t="shared" si="15"/>
        <v>0</v>
      </c>
      <c r="I198" s="99">
        <f t="shared" si="13"/>
        <v>-16830000</v>
      </c>
      <c r="J198" s="99">
        <f t="shared" si="16"/>
        <v>0</v>
      </c>
      <c r="K198" s="99">
        <f t="shared" si="17"/>
        <v>-16830000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169</v>
      </c>
      <c r="H199" s="99">
        <f t="shared" si="15"/>
        <v>0</v>
      </c>
      <c r="I199" s="99">
        <f t="shared" si="13"/>
        <v>-34771750</v>
      </c>
      <c r="J199" s="99">
        <f t="shared" si="16"/>
        <v>0</v>
      </c>
      <c r="K199" s="99">
        <f t="shared" si="17"/>
        <v>-34771750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169</v>
      </c>
      <c r="H200" s="99">
        <f t="shared" si="15"/>
        <v>0</v>
      </c>
      <c r="I200" s="99">
        <f t="shared" si="13"/>
        <v>-16055000</v>
      </c>
      <c r="J200" s="99">
        <f t="shared" si="16"/>
        <v>0</v>
      </c>
      <c r="K200" s="99">
        <f t="shared" si="17"/>
        <v>-16055000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166</v>
      </c>
      <c r="H201" s="99">
        <f t="shared" si="15"/>
        <v>1</v>
      </c>
      <c r="I201" s="99">
        <f t="shared" si="13"/>
        <v>8027250000</v>
      </c>
      <c r="J201" s="99">
        <f t="shared" si="16"/>
        <v>0</v>
      </c>
      <c r="K201" s="99">
        <f t="shared" si="17"/>
        <v>8027250000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166</v>
      </c>
      <c r="H202" s="99">
        <f t="shared" si="15"/>
        <v>0</v>
      </c>
      <c r="I202" s="99">
        <f t="shared" si="13"/>
        <v>-498149400</v>
      </c>
      <c r="J202" s="99">
        <f t="shared" si="16"/>
        <v>0</v>
      </c>
      <c r="K202" s="99">
        <f t="shared" si="17"/>
        <v>-498149400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166</v>
      </c>
      <c r="H203" s="99">
        <f t="shared" si="15"/>
        <v>0</v>
      </c>
      <c r="I203" s="99">
        <f t="shared" si="13"/>
        <v>-830000</v>
      </c>
      <c r="J203" s="99">
        <f t="shared" si="16"/>
        <v>0</v>
      </c>
      <c r="K203" s="99">
        <f t="shared" si="17"/>
        <v>-830000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166</v>
      </c>
      <c r="H204" s="99">
        <f t="shared" si="15"/>
        <v>0</v>
      </c>
      <c r="I204" s="99">
        <f t="shared" si="13"/>
        <v>-5561000000</v>
      </c>
      <c r="J204" s="99">
        <f t="shared" si="16"/>
        <v>0</v>
      </c>
      <c r="K204" s="99">
        <f t="shared" si="17"/>
        <v>-5561000000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165</v>
      </c>
      <c r="H205" s="99">
        <f t="shared" si="15"/>
        <v>0</v>
      </c>
      <c r="I205" s="99">
        <f t="shared" si="13"/>
        <v>-2051775000</v>
      </c>
      <c r="J205" s="99">
        <f t="shared" si="16"/>
        <v>0</v>
      </c>
      <c r="K205" s="99">
        <f t="shared" si="17"/>
        <v>-2051775000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162</v>
      </c>
      <c r="H206" s="99">
        <f t="shared" si="15"/>
        <v>0</v>
      </c>
      <c r="I206" s="99">
        <f t="shared" si="13"/>
        <v>-2997000</v>
      </c>
      <c r="J206" s="99">
        <f t="shared" si="16"/>
        <v>0</v>
      </c>
      <c r="K206" s="99">
        <f t="shared" si="17"/>
        <v>-2997000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160</v>
      </c>
      <c r="H207" s="99">
        <f t="shared" si="15"/>
        <v>1</v>
      </c>
      <c r="I207" s="99">
        <f t="shared" si="13"/>
        <v>2302320</v>
      </c>
      <c r="J207" s="99">
        <f t="shared" ref="J207:J281" si="20">C207*(G207-H207)</f>
        <v>11268966</v>
      </c>
      <c r="K207" s="99">
        <f t="shared" si="17"/>
        <v>-8966646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159</v>
      </c>
      <c r="H208" s="99">
        <f t="shared" si="15"/>
        <v>1</v>
      </c>
      <c r="I208" s="99">
        <f t="shared" si="13"/>
        <v>131140000</v>
      </c>
      <c r="J208" s="99">
        <f t="shared" si="20"/>
        <v>0</v>
      </c>
      <c r="K208" s="99">
        <f t="shared" si="17"/>
        <v>131140000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157</v>
      </c>
      <c r="H209" s="99">
        <f t="shared" si="15"/>
        <v>0</v>
      </c>
      <c r="I209" s="99">
        <f t="shared" si="13"/>
        <v>-8233080</v>
      </c>
      <c r="J209" s="99">
        <f t="shared" si="20"/>
        <v>0</v>
      </c>
      <c r="K209" s="99">
        <f t="shared" si="17"/>
        <v>-8233080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156</v>
      </c>
      <c r="H210" s="99">
        <f t="shared" si="15"/>
        <v>0</v>
      </c>
      <c r="I210" s="99">
        <f t="shared" si="13"/>
        <v>-7971600</v>
      </c>
      <c r="J210" s="99">
        <f t="shared" si="20"/>
        <v>0</v>
      </c>
      <c r="K210" s="99">
        <f t="shared" si="17"/>
        <v>-7971600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155</v>
      </c>
      <c r="H211" s="99">
        <f t="shared" si="15"/>
        <v>0</v>
      </c>
      <c r="I211" s="99">
        <f t="shared" si="13"/>
        <v>-31000000</v>
      </c>
      <c r="J211" s="99">
        <f t="shared" si="20"/>
        <v>0</v>
      </c>
      <c r="K211" s="99">
        <f t="shared" si="17"/>
        <v>-31000000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154</v>
      </c>
      <c r="H212" s="99">
        <f t="shared" si="15"/>
        <v>0</v>
      </c>
      <c r="I212" s="99">
        <f t="shared" si="13"/>
        <v>-4312000</v>
      </c>
      <c r="J212" s="99">
        <f t="shared" si="20"/>
        <v>0</v>
      </c>
      <c r="K212" s="99">
        <f t="shared" si="17"/>
        <v>-4312000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153</v>
      </c>
      <c r="H213" s="99">
        <f t="shared" si="15"/>
        <v>0</v>
      </c>
      <c r="I213" s="99">
        <f t="shared" si="13"/>
        <v>-9042300</v>
      </c>
      <c r="J213" s="99">
        <f t="shared" si="20"/>
        <v>0</v>
      </c>
      <c r="K213" s="99">
        <f t="shared" si="17"/>
        <v>-9042300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152</v>
      </c>
      <c r="H214" s="99">
        <f t="shared" si="15"/>
        <v>0</v>
      </c>
      <c r="I214" s="99">
        <f t="shared" si="13"/>
        <v>-4560000</v>
      </c>
      <c r="J214" s="99">
        <f t="shared" si="20"/>
        <v>0</v>
      </c>
      <c r="K214" s="99">
        <f t="shared" si="17"/>
        <v>-4560000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152</v>
      </c>
      <c r="H215" s="99">
        <f t="shared" si="15"/>
        <v>0</v>
      </c>
      <c r="I215" s="99">
        <f t="shared" si="13"/>
        <v>-27056000</v>
      </c>
      <c r="J215" s="99">
        <f t="shared" si="20"/>
        <v>0</v>
      </c>
      <c r="K215" s="99">
        <f t="shared" si="17"/>
        <v>-27056000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151</v>
      </c>
      <c r="H216" s="99">
        <f t="shared" si="15"/>
        <v>0</v>
      </c>
      <c r="I216" s="99">
        <f t="shared" si="13"/>
        <v>-14437110</v>
      </c>
      <c r="J216" s="99">
        <f t="shared" si="20"/>
        <v>0</v>
      </c>
      <c r="K216" s="99">
        <f t="shared" si="17"/>
        <v>-14437110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148</v>
      </c>
      <c r="H217" s="99">
        <f t="shared" si="15"/>
        <v>0</v>
      </c>
      <c r="I217" s="99">
        <f t="shared" si="13"/>
        <v>-12432000</v>
      </c>
      <c r="J217" s="99">
        <f t="shared" si="20"/>
        <v>0</v>
      </c>
      <c r="K217" s="99">
        <f t="shared" si="17"/>
        <v>-12432000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146</v>
      </c>
      <c r="H218" s="99">
        <f t="shared" si="15"/>
        <v>0</v>
      </c>
      <c r="I218" s="99">
        <f t="shared" si="13"/>
        <v>-4818000</v>
      </c>
      <c r="J218" s="99">
        <f t="shared" si="20"/>
        <v>0</v>
      </c>
      <c r="K218" s="99">
        <f t="shared" si="17"/>
        <v>-4818000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143</v>
      </c>
      <c r="H219" s="99">
        <f t="shared" si="15"/>
        <v>1</v>
      </c>
      <c r="I219" s="99">
        <f t="shared" si="13"/>
        <v>219816000</v>
      </c>
      <c r="J219" s="99">
        <f t="shared" si="20"/>
        <v>0</v>
      </c>
      <c r="K219" s="99">
        <f t="shared" si="17"/>
        <v>219816000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142</v>
      </c>
      <c r="H220" s="99">
        <f t="shared" si="15"/>
        <v>0</v>
      </c>
      <c r="I220" s="99">
        <f t="shared" si="13"/>
        <v>-198899400</v>
      </c>
      <c r="J220" s="99">
        <f t="shared" si="20"/>
        <v>0</v>
      </c>
      <c r="K220" s="99">
        <f t="shared" si="17"/>
        <v>-198899400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142</v>
      </c>
      <c r="H221" s="99">
        <f t="shared" si="15"/>
        <v>0</v>
      </c>
      <c r="I221" s="99">
        <f t="shared" si="13"/>
        <v>-1420000</v>
      </c>
      <c r="J221" s="99">
        <f t="shared" si="20"/>
        <v>0</v>
      </c>
      <c r="K221" s="99">
        <f t="shared" si="17"/>
        <v>-1420000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142</v>
      </c>
      <c r="H222" s="99">
        <f t="shared" si="15"/>
        <v>0</v>
      </c>
      <c r="I222" s="99">
        <f t="shared" si="13"/>
        <v>-710000</v>
      </c>
      <c r="J222" s="99">
        <f t="shared" si="20"/>
        <v>-355000</v>
      </c>
      <c r="K222" s="99">
        <f t="shared" si="17"/>
        <v>-355000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136</v>
      </c>
      <c r="H223" s="99">
        <f t="shared" si="15"/>
        <v>0</v>
      </c>
      <c r="I223" s="99">
        <f t="shared" si="13"/>
        <v>-25840000</v>
      </c>
      <c r="J223" s="99">
        <f t="shared" si="20"/>
        <v>0</v>
      </c>
      <c r="K223" s="99">
        <f t="shared" si="17"/>
        <v>-25840000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129</v>
      </c>
      <c r="H224" s="99">
        <f t="shared" si="15"/>
        <v>1</v>
      </c>
      <c r="I224" s="99">
        <f t="shared" si="13"/>
        <v>244608</v>
      </c>
      <c r="J224" s="99">
        <f t="shared" si="20"/>
        <v>8316416</v>
      </c>
      <c r="K224" s="99">
        <f t="shared" si="17"/>
        <v>-8071808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123</v>
      </c>
      <c r="H225" s="99">
        <f t="shared" si="15"/>
        <v>1</v>
      </c>
      <c r="I225" s="99">
        <f t="shared" si="13"/>
        <v>610000000</v>
      </c>
      <c r="J225" s="99">
        <f t="shared" si="20"/>
        <v>0</v>
      </c>
      <c r="K225" s="99">
        <f t="shared" si="17"/>
        <v>610000000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122</v>
      </c>
      <c r="H226" s="99">
        <f t="shared" si="15"/>
        <v>0</v>
      </c>
      <c r="I226" s="99">
        <f t="shared" si="13"/>
        <v>-390400000</v>
      </c>
      <c r="J226" s="99">
        <f t="shared" si="20"/>
        <v>0</v>
      </c>
      <c r="K226" s="99">
        <f t="shared" si="17"/>
        <v>-390400000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122</v>
      </c>
      <c r="H227" s="99">
        <f t="shared" si="15"/>
        <v>1</v>
      </c>
      <c r="I227" s="99">
        <f t="shared" si="13"/>
        <v>290400000</v>
      </c>
      <c r="J227" s="99">
        <f t="shared" si="20"/>
        <v>0</v>
      </c>
      <c r="K227" s="99">
        <f t="shared" si="17"/>
        <v>290400000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120</v>
      </c>
      <c r="H228" s="99">
        <f t="shared" si="15"/>
        <v>0</v>
      </c>
      <c r="I228" s="99">
        <f t="shared" si="13"/>
        <v>-6000000</v>
      </c>
      <c r="J228" s="99">
        <f t="shared" si="20"/>
        <v>0</v>
      </c>
      <c r="K228" s="99">
        <f t="shared" si="17"/>
        <v>-6000000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119</v>
      </c>
      <c r="H229" s="99">
        <f t="shared" si="15"/>
        <v>0</v>
      </c>
      <c r="I229" s="99">
        <f t="shared" si="13"/>
        <v>-487983300</v>
      </c>
      <c r="J229" s="99">
        <f t="shared" si="20"/>
        <v>0</v>
      </c>
      <c r="K229" s="99">
        <f t="shared" si="17"/>
        <v>-487983300</v>
      </c>
    </row>
    <row r="230" spans="1:13">
      <c r="A230" s="99" t="s">
        <v>4348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115</v>
      </c>
      <c r="H230" s="99">
        <f t="shared" si="15"/>
        <v>1</v>
      </c>
      <c r="I230" s="99">
        <f t="shared" si="13"/>
        <v>1105800000</v>
      </c>
      <c r="J230" s="99">
        <f t="shared" si="20"/>
        <v>0</v>
      </c>
      <c r="K230" s="99">
        <f t="shared" si="17"/>
        <v>1105800000</v>
      </c>
    </row>
    <row r="231" spans="1:13">
      <c r="A231" s="99" t="s">
        <v>4348</v>
      </c>
      <c r="B231" s="18">
        <v>-3000900</v>
      </c>
      <c r="C231" s="18">
        <v>0</v>
      </c>
      <c r="D231" s="18">
        <f t="shared" si="18"/>
        <v>-3000900</v>
      </c>
      <c r="E231" s="99" t="s">
        <v>4356</v>
      </c>
      <c r="F231" s="99">
        <v>1</v>
      </c>
      <c r="G231" s="36">
        <f t="shared" si="21"/>
        <v>115</v>
      </c>
      <c r="H231" s="99">
        <f t="shared" si="15"/>
        <v>0</v>
      </c>
      <c r="I231" s="99">
        <f t="shared" si="13"/>
        <v>-345103500</v>
      </c>
      <c r="J231" s="99">
        <f t="shared" si="20"/>
        <v>0</v>
      </c>
      <c r="K231" s="99">
        <f t="shared" si="17"/>
        <v>-345103500</v>
      </c>
    </row>
    <row r="232" spans="1:13">
      <c r="A232" s="99" t="s">
        <v>4349</v>
      </c>
      <c r="B232" s="18">
        <v>-3000900</v>
      </c>
      <c r="C232" s="18">
        <v>0</v>
      </c>
      <c r="D232" s="18">
        <f t="shared" si="18"/>
        <v>-3000900</v>
      </c>
      <c r="E232" s="99" t="s">
        <v>4356</v>
      </c>
      <c r="F232" s="99">
        <v>0</v>
      </c>
      <c r="G232" s="36">
        <f t="shared" si="21"/>
        <v>114</v>
      </c>
      <c r="H232" s="99">
        <f t="shared" si="15"/>
        <v>0</v>
      </c>
      <c r="I232" s="99">
        <f t="shared" si="13"/>
        <v>-342102600</v>
      </c>
      <c r="J232" s="99">
        <f t="shared" si="20"/>
        <v>0</v>
      </c>
      <c r="K232" s="99">
        <f t="shared" si="17"/>
        <v>-342102600</v>
      </c>
    </row>
    <row r="233" spans="1:13">
      <c r="A233" s="99" t="s">
        <v>4349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114</v>
      </c>
      <c r="H233" s="99">
        <f t="shared" si="15"/>
        <v>0</v>
      </c>
      <c r="I233" s="99">
        <f t="shared" si="13"/>
        <v>-63270000</v>
      </c>
      <c r="J233" s="99">
        <f t="shared" si="20"/>
        <v>0</v>
      </c>
      <c r="K233" s="99">
        <f t="shared" si="17"/>
        <v>-63270000</v>
      </c>
    </row>
    <row r="234" spans="1:13">
      <c r="A234" s="99" t="s">
        <v>4368</v>
      </c>
      <c r="B234" s="18">
        <v>-138360</v>
      </c>
      <c r="C234" s="18">
        <v>0</v>
      </c>
      <c r="D234" s="18">
        <f t="shared" si="18"/>
        <v>-138360</v>
      </c>
      <c r="E234" s="99" t="s">
        <v>4370</v>
      </c>
      <c r="F234" s="99">
        <v>1</v>
      </c>
      <c r="G234" s="36">
        <f t="shared" si="21"/>
        <v>113</v>
      </c>
      <c r="H234" s="99">
        <f t="shared" si="15"/>
        <v>0</v>
      </c>
      <c r="I234" s="99">
        <f t="shared" si="13"/>
        <v>-15634680</v>
      </c>
      <c r="J234" s="99">
        <f t="shared" si="20"/>
        <v>0</v>
      </c>
      <c r="K234" s="99">
        <f t="shared" si="17"/>
        <v>-15634680</v>
      </c>
    </row>
    <row r="235" spans="1:13">
      <c r="A235" s="99" t="s">
        <v>4371</v>
      </c>
      <c r="B235" s="18">
        <v>-3000900</v>
      </c>
      <c r="C235" s="18">
        <v>0</v>
      </c>
      <c r="D235" s="18">
        <f t="shared" si="18"/>
        <v>-3000900</v>
      </c>
      <c r="E235" s="99" t="s">
        <v>4356</v>
      </c>
      <c r="F235" s="99">
        <v>2</v>
      </c>
      <c r="G235" s="36">
        <f t="shared" si="21"/>
        <v>112</v>
      </c>
      <c r="H235" s="99">
        <f t="shared" si="15"/>
        <v>0</v>
      </c>
      <c r="I235" s="99">
        <f t="shared" si="13"/>
        <v>-336100800</v>
      </c>
      <c r="J235" s="99">
        <f t="shared" si="20"/>
        <v>0</v>
      </c>
      <c r="K235" s="99">
        <f t="shared" si="17"/>
        <v>-336100800</v>
      </c>
      <c r="M235" t="s">
        <v>25</v>
      </c>
    </row>
    <row r="236" spans="1:13">
      <c r="A236" s="99" t="s">
        <v>4377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110</v>
      </c>
      <c r="H236" s="99">
        <f t="shared" si="15"/>
        <v>0</v>
      </c>
      <c r="I236" s="99">
        <f t="shared" si="13"/>
        <v>-6050000</v>
      </c>
      <c r="J236" s="99">
        <f t="shared" si="20"/>
        <v>0</v>
      </c>
      <c r="K236" s="99">
        <f t="shared" si="17"/>
        <v>-6050000</v>
      </c>
    </row>
    <row r="237" spans="1:13">
      <c r="A237" s="99" t="s">
        <v>4394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106</v>
      </c>
      <c r="H237" s="99">
        <f t="shared" si="15"/>
        <v>1</v>
      </c>
      <c r="I237" s="99">
        <f t="shared" si="13"/>
        <v>633675000</v>
      </c>
      <c r="J237" s="99">
        <f t="shared" si="20"/>
        <v>0</v>
      </c>
      <c r="K237" s="99">
        <f t="shared" si="17"/>
        <v>633675000</v>
      </c>
    </row>
    <row r="238" spans="1:13">
      <c r="A238" s="99" t="s">
        <v>4401</v>
      </c>
      <c r="B238" s="18">
        <v>-7500</v>
      </c>
      <c r="C238" s="18">
        <v>0</v>
      </c>
      <c r="D238" s="18">
        <f t="shared" si="18"/>
        <v>-7500</v>
      </c>
      <c r="E238" s="99" t="s">
        <v>4402</v>
      </c>
      <c r="F238" s="99">
        <v>1</v>
      </c>
      <c r="G238" s="36">
        <f t="shared" si="21"/>
        <v>104</v>
      </c>
      <c r="H238" s="99">
        <f t="shared" si="15"/>
        <v>0</v>
      </c>
      <c r="I238" s="99">
        <f t="shared" si="13"/>
        <v>-780000</v>
      </c>
      <c r="J238" s="99">
        <f t="shared" si="20"/>
        <v>0</v>
      </c>
      <c r="K238" s="99">
        <f t="shared" si="17"/>
        <v>-780000</v>
      </c>
    </row>
    <row r="239" spans="1:13">
      <c r="A239" s="99" t="s">
        <v>4403</v>
      </c>
      <c r="B239" s="18">
        <v>-4098523</v>
      </c>
      <c r="C239" s="18">
        <v>0</v>
      </c>
      <c r="D239" s="18">
        <f t="shared" si="18"/>
        <v>-4098523</v>
      </c>
      <c r="E239" s="99" t="s">
        <v>4404</v>
      </c>
      <c r="F239" s="99">
        <v>0</v>
      </c>
      <c r="G239" s="36">
        <f t="shared" si="21"/>
        <v>103</v>
      </c>
      <c r="H239" s="99">
        <f t="shared" si="15"/>
        <v>0</v>
      </c>
      <c r="I239" s="99">
        <f t="shared" si="13"/>
        <v>-422147869</v>
      </c>
      <c r="J239" s="99">
        <f t="shared" si="20"/>
        <v>0</v>
      </c>
      <c r="K239" s="99">
        <f t="shared" si="17"/>
        <v>-422147869</v>
      </c>
    </row>
    <row r="240" spans="1:13">
      <c r="A240" s="99" t="s">
        <v>4405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103</v>
      </c>
      <c r="H240" s="99">
        <f t="shared" si="15"/>
        <v>0</v>
      </c>
      <c r="I240" s="99">
        <f t="shared" si="13"/>
        <v>-3422175</v>
      </c>
      <c r="J240" s="99">
        <f t="shared" si="20"/>
        <v>0</v>
      </c>
      <c r="K240" s="99">
        <f t="shared" si="17"/>
        <v>-3422175</v>
      </c>
    </row>
    <row r="241" spans="1:13">
      <c r="A241" s="99" t="s">
        <v>4405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103</v>
      </c>
      <c r="H241" s="99">
        <f t="shared" si="15"/>
        <v>0</v>
      </c>
      <c r="I241" s="99">
        <f t="shared" si="13"/>
        <v>-195185000</v>
      </c>
      <c r="J241" s="99">
        <f t="shared" si="20"/>
        <v>0</v>
      </c>
      <c r="K241" s="99">
        <f t="shared" si="17"/>
        <v>-195185000</v>
      </c>
    </row>
    <row r="242" spans="1:13">
      <c r="A242" s="99" t="s">
        <v>4440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96</v>
      </c>
      <c r="H242" s="99">
        <f t="shared" si="15"/>
        <v>1</v>
      </c>
      <c r="I242" s="99">
        <f t="shared" si="13"/>
        <v>237500000</v>
      </c>
      <c r="J242" s="99">
        <f t="shared" si="20"/>
        <v>0</v>
      </c>
      <c r="K242" s="99">
        <f t="shared" si="17"/>
        <v>237500000</v>
      </c>
    </row>
    <row r="243" spans="1:13">
      <c r="A243" s="99" t="s">
        <v>4442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94</v>
      </c>
      <c r="H243" s="99">
        <f t="shared" si="15"/>
        <v>0</v>
      </c>
      <c r="I243" s="99">
        <f t="shared" si="13"/>
        <v>-235000000</v>
      </c>
      <c r="J243" s="99">
        <f t="shared" si="20"/>
        <v>0</v>
      </c>
      <c r="K243" s="99">
        <f t="shared" si="17"/>
        <v>-235000000</v>
      </c>
    </row>
    <row r="244" spans="1:13">
      <c r="A244" s="99" t="s">
        <v>4447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92</v>
      </c>
      <c r="H244" s="99">
        <f t="shared" si="15"/>
        <v>1</v>
      </c>
      <c r="I244" s="99">
        <f t="shared" si="13"/>
        <v>100100000</v>
      </c>
      <c r="J244" s="99">
        <f t="shared" si="20"/>
        <v>0</v>
      </c>
      <c r="K244" s="99">
        <f t="shared" si="17"/>
        <v>100100000</v>
      </c>
    </row>
    <row r="245" spans="1:13">
      <c r="A245" s="99" t="s">
        <v>4449</v>
      </c>
      <c r="B245" s="18">
        <v>3000000</v>
      </c>
      <c r="C245" s="18">
        <v>0</v>
      </c>
      <c r="D245" s="18">
        <f t="shared" si="18"/>
        <v>3000000</v>
      </c>
      <c r="E245" s="99" t="s">
        <v>4451</v>
      </c>
      <c r="F245" s="99">
        <v>2</v>
      </c>
      <c r="G245" s="36">
        <f t="shared" si="21"/>
        <v>90</v>
      </c>
      <c r="H245" s="99">
        <f t="shared" si="15"/>
        <v>1</v>
      </c>
      <c r="I245" s="99">
        <f t="shared" si="13"/>
        <v>267000000</v>
      </c>
      <c r="J245" s="99">
        <f t="shared" si="20"/>
        <v>0</v>
      </c>
      <c r="K245" s="99">
        <f t="shared" si="17"/>
        <v>267000000</v>
      </c>
    </row>
    <row r="246" spans="1:13">
      <c r="A246" s="99" t="s">
        <v>4446</v>
      </c>
      <c r="B246" s="18">
        <v>-4040700</v>
      </c>
      <c r="C246" s="18">
        <v>0</v>
      </c>
      <c r="D246" s="18">
        <f t="shared" si="18"/>
        <v>-4040700</v>
      </c>
      <c r="E246" s="99" t="s">
        <v>4484</v>
      </c>
      <c r="F246" s="99">
        <v>0</v>
      </c>
      <c r="G246" s="36">
        <f t="shared" si="21"/>
        <v>88</v>
      </c>
      <c r="H246" s="99">
        <f t="shared" si="15"/>
        <v>0</v>
      </c>
      <c r="I246" s="99">
        <f t="shared" si="13"/>
        <v>-355581600</v>
      </c>
      <c r="J246" s="99">
        <f t="shared" si="20"/>
        <v>0</v>
      </c>
      <c r="K246" s="99">
        <f t="shared" si="17"/>
        <v>-355581600</v>
      </c>
    </row>
    <row r="247" spans="1:13">
      <c r="A247" s="99" t="s">
        <v>4446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88</v>
      </c>
      <c r="H247" s="99">
        <f t="shared" si="15"/>
        <v>1</v>
      </c>
      <c r="I247" s="99">
        <f t="shared" si="13"/>
        <v>42630000</v>
      </c>
      <c r="J247" s="99">
        <f t="shared" si="20"/>
        <v>0</v>
      </c>
      <c r="K247" s="99">
        <f t="shared" si="17"/>
        <v>42630000</v>
      </c>
    </row>
    <row r="248" spans="1:13">
      <c r="A248" s="99" t="s">
        <v>4487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87</v>
      </c>
      <c r="H248" s="99">
        <f t="shared" si="15"/>
        <v>1</v>
      </c>
      <c r="I248" s="99">
        <f t="shared" si="13"/>
        <v>120400000</v>
      </c>
      <c r="J248" s="99">
        <f t="shared" si="20"/>
        <v>0</v>
      </c>
      <c r="K248" s="99">
        <f t="shared" si="17"/>
        <v>120400000</v>
      </c>
      <c r="M248" t="s">
        <v>25</v>
      </c>
    </row>
    <row r="249" spans="1:13">
      <c r="A249" s="99" t="s">
        <v>4487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87</v>
      </c>
      <c r="H249" s="99">
        <f t="shared" si="15"/>
        <v>0</v>
      </c>
      <c r="I249" s="99">
        <f t="shared" si="13"/>
        <v>-130500000</v>
      </c>
      <c r="J249" s="99">
        <f t="shared" si="20"/>
        <v>0</v>
      </c>
      <c r="K249" s="99">
        <f t="shared" si="17"/>
        <v>-130500000</v>
      </c>
    </row>
    <row r="250" spans="1:13">
      <c r="A250" s="99" t="s">
        <v>4493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86</v>
      </c>
      <c r="H250" s="99">
        <f t="shared" si="15"/>
        <v>0</v>
      </c>
      <c r="I250" s="99">
        <f t="shared" si="13"/>
        <v>-8600000</v>
      </c>
      <c r="J250" s="99">
        <f t="shared" si="20"/>
        <v>0</v>
      </c>
      <c r="K250" s="99">
        <f t="shared" si="17"/>
        <v>-8600000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85</v>
      </c>
      <c r="H251" s="99">
        <f t="shared" si="15"/>
        <v>0</v>
      </c>
      <c r="I251" s="99">
        <f t="shared" si="13"/>
        <v>-1181500</v>
      </c>
      <c r="J251" s="99">
        <f t="shared" si="20"/>
        <v>0</v>
      </c>
      <c r="K251" s="99">
        <f t="shared" si="17"/>
        <v>-1181500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85</v>
      </c>
      <c r="H252" s="99">
        <f t="shared" si="15"/>
        <v>1</v>
      </c>
      <c r="I252" s="99">
        <f t="shared" si="13"/>
        <v>25200000</v>
      </c>
      <c r="J252" s="99">
        <f t="shared" si="20"/>
        <v>0</v>
      </c>
      <c r="K252" s="99">
        <f t="shared" si="17"/>
        <v>25200000</v>
      </c>
    </row>
    <row r="253" spans="1:13">
      <c r="A253" s="99" t="s">
        <v>4501</v>
      </c>
      <c r="B253" s="18">
        <v>12000000</v>
      </c>
      <c r="C253" s="18">
        <v>0</v>
      </c>
      <c r="D253" s="18">
        <f t="shared" si="18"/>
        <v>12000000</v>
      </c>
      <c r="E253" s="99" t="s">
        <v>4502</v>
      </c>
      <c r="F253" s="99">
        <v>1</v>
      </c>
      <c r="G253" s="36">
        <f t="shared" si="21"/>
        <v>83</v>
      </c>
      <c r="H253" s="99">
        <f t="shared" si="15"/>
        <v>1</v>
      </c>
      <c r="I253" s="99">
        <f t="shared" si="13"/>
        <v>984000000</v>
      </c>
      <c r="J253" s="99">
        <f t="shared" si="20"/>
        <v>0</v>
      </c>
      <c r="K253" s="99">
        <f t="shared" si="17"/>
        <v>984000000</v>
      </c>
    </row>
    <row r="254" spans="1:13">
      <c r="A254" s="99" t="s">
        <v>4503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82</v>
      </c>
      <c r="H254" s="99">
        <f t="shared" si="15"/>
        <v>1</v>
      </c>
      <c r="I254" s="99">
        <f t="shared" si="13"/>
        <v>243000000</v>
      </c>
      <c r="J254" s="99">
        <f t="shared" si="20"/>
        <v>0</v>
      </c>
      <c r="K254" s="99">
        <f t="shared" si="17"/>
        <v>243000000</v>
      </c>
    </row>
    <row r="255" spans="1:13">
      <c r="A255" s="99" t="s">
        <v>4505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81</v>
      </c>
      <c r="H255" s="99">
        <f t="shared" si="15"/>
        <v>0</v>
      </c>
      <c r="I255" s="99">
        <f t="shared" si="13"/>
        <v>-1134000000</v>
      </c>
      <c r="J255" s="99">
        <f t="shared" si="20"/>
        <v>0</v>
      </c>
      <c r="K255" s="99">
        <f t="shared" si="17"/>
        <v>-1134000000</v>
      </c>
    </row>
    <row r="256" spans="1:13">
      <c r="A256" s="99" t="s">
        <v>4507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80</v>
      </c>
      <c r="H256" s="99">
        <f t="shared" si="15"/>
        <v>0</v>
      </c>
      <c r="I256" s="99">
        <f t="shared" si="13"/>
        <v>-9997520</v>
      </c>
      <c r="J256" s="99">
        <f t="shared" si="20"/>
        <v>0</v>
      </c>
      <c r="K256" s="99">
        <f t="shared" si="17"/>
        <v>-9997520</v>
      </c>
    </row>
    <row r="257" spans="1:13">
      <c r="A257" s="99" t="s">
        <v>4507</v>
      </c>
      <c r="B257" s="18">
        <v>0</v>
      </c>
      <c r="C257" s="39">
        <v>-7968789</v>
      </c>
      <c r="D257" s="39">
        <f t="shared" si="18"/>
        <v>7968789</v>
      </c>
      <c r="E257" s="99" t="s">
        <v>4509</v>
      </c>
      <c r="F257" s="99">
        <v>1</v>
      </c>
      <c r="G257" s="36">
        <f t="shared" si="21"/>
        <v>80</v>
      </c>
      <c r="H257" s="99">
        <f t="shared" si="15"/>
        <v>0</v>
      </c>
      <c r="I257" s="99">
        <f t="shared" si="13"/>
        <v>0</v>
      </c>
      <c r="J257" s="99">
        <f t="shared" si="20"/>
        <v>-637503120</v>
      </c>
      <c r="K257" s="99">
        <f t="shared" si="17"/>
        <v>637503120</v>
      </c>
    </row>
    <row r="258" spans="1:13">
      <c r="A258" s="99" t="s">
        <v>4511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79</v>
      </c>
      <c r="H258" s="99">
        <f t="shared" si="15"/>
        <v>0</v>
      </c>
      <c r="I258" s="99">
        <f t="shared" si="13"/>
        <v>-103727000</v>
      </c>
      <c r="J258" s="99">
        <f t="shared" si="20"/>
        <v>0</v>
      </c>
      <c r="K258" s="99">
        <f t="shared" si="17"/>
        <v>-103727000</v>
      </c>
    </row>
    <row r="259" spans="1:13">
      <c r="A259" s="99" t="s">
        <v>4518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76</v>
      </c>
      <c r="H259" s="99">
        <f t="shared" si="15"/>
        <v>1</v>
      </c>
      <c r="I259" s="99">
        <f t="shared" si="13"/>
        <v>150000000</v>
      </c>
      <c r="J259" s="99">
        <f t="shared" si="20"/>
        <v>0</v>
      </c>
      <c r="K259" s="99">
        <f t="shared" si="17"/>
        <v>150000000</v>
      </c>
      <c r="M259" t="s">
        <v>25</v>
      </c>
    </row>
    <row r="260" spans="1:13">
      <c r="A260" s="99" t="s">
        <v>4519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75</v>
      </c>
      <c r="H260" s="99">
        <f t="shared" si="15"/>
        <v>0</v>
      </c>
      <c r="I260" s="99">
        <f t="shared" si="13"/>
        <v>-142500000</v>
      </c>
      <c r="J260" s="99">
        <f t="shared" si="20"/>
        <v>0</v>
      </c>
      <c r="K260" s="99">
        <f t="shared" si="17"/>
        <v>-142500000</v>
      </c>
    </row>
    <row r="261" spans="1:13">
      <c r="A261" s="99" t="s">
        <v>4519</v>
      </c>
      <c r="B261" s="18">
        <v>-100500</v>
      </c>
      <c r="C261" s="18">
        <v>0</v>
      </c>
      <c r="D261" s="18">
        <f t="shared" si="18"/>
        <v>-100500</v>
      </c>
      <c r="E261" s="99" t="s">
        <v>4521</v>
      </c>
      <c r="F261" s="99">
        <v>0</v>
      </c>
      <c r="G261" s="36">
        <f t="shared" si="21"/>
        <v>75</v>
      </c>
      <c r="H261" s="99">
        <f t="shared" si="15"/>
        <v>0</v>
      </c>
      <c r="I261" s="99">
        <f t="shared" si="13"/>
        <v>-7537500</v>
      </c>
      <c r="J261" s="99">
        <f t="shared" si="20"/>
        <v>0</v>
      </c>
      <c r="K261" s="99">
        <f t="shared" si="17"/>
        <v>-7537500</v>
      </c>
    </row>
    <row r="262" spans="1:13">
      <c r="A262" s="99" t="s">
        <v>4519</v>
      </c>
      <c r="B262" s="18">
        <v>-68670</v>
      </c>
      <c r="C262" s="18">
        <v>0</v>
      </c>
      <c r="D262" s="18">
        <f t="shared" si="18"/>
        <v>-68670</v>
      </c>
      <c r="E262" s="99" t="s">
        <v>4525</v>
      </c>
      <c r="F262" s="99">
        <v>1</v>
      </c>
      <c r="G262" s="36">
        <f t="shared" si="21"/>
        <v>75</v>
      </c>
      <c r="H262" s="99">
        <f t="shared" si="15"/>
        <v>0</v>
      </c>
      <c r="I262" s="99">
        <f t="shared" si="13"/>
        <v>-5150250</v>
      </c>
      <c r="J262" s="99">
        <f t="shared" si="20"/>
        <v>0</v>
      </c>
      <c r="K262" s="99">
        <f t="shared" si="17"/>
        <v>-5150250</v>
      </c>
    </row>
    <row r="263" spans="1:13">
      <c r="A263" s="99" t="s">
        <v>4522</v>
      </c>
      <c r="B263" s="18">
        <v>-118600</v>
      </c>
      <c r="C263" s="18">
        <v>0</v>
      </c>
      <c r="D263" s="18">
        <f t="shared" si="18"/>
        <v>-118600</v>
      </c>
      <c r="E263" s="99" t="s">
        <v>4404</v>
      </c>
      <c r="F263" s="99">
        <v>2</v>
      </c>
      <c r="G263" s="36">
        <f t="shared" si="21"/>
        <v>74</v>
      </c>
      <c r="H263" s="99">
        <f t="shared" si="15"/>
        <v>0</v>
      </c>
      <c r="I263" s="99">
        <f t="shared" si="13"/>
        <v>-8776400</v>
      </c>
      <c r="J263" s="99">
        <f t="shared" si="20"/>
        <v>0</v>
      </c>
      <c r="K263" s="99">
        <f t="shared" si="17"/>
        <v>-8776400</v>
      </c>
      <c r="L263" t="s">
        <v>25</v>
      </c>
    </row>
    <row r="264" spans="1:13">
      <c r="A264" s="99" t="s">
        <v>4532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72</v>
      </c>
      <c r="H264" s="99">
        <f t="shared" si="15"/>
        <v>1</v>
      </c>
      <c r="I264" s="99">
        <f t="shared" si="13"/>
        <v>481309000</v>
      </c>
      <c r="J264" s="99">
        <f t="shared" si="20"/>
        <v>0</v>
      </c>
      <c r="K264" s="99">
        <f t="shared" si="17"/>
        <v>481309000</v>
      </c>
    </row>
    <row r="265" spans="1:13">
      <c r="A265" s="99" t="s">
        <v>4532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72</v>
      </c>
      <c r="H265" s="99">
        <f t="shared" si="15"/>
        <v>0</v>
      </c>
      <c r="I265" s="99">
        <f t="shared" si="13"/>
        <v>-460800000</v>
      </c>
      <c r="J265" s="99">
        <f t="shared" si="20"/>
        <v>0</v>
      </c>
      <c r="K265" s="99">
        <f t="shared" si="17"/>
        <v>-460800000</v>
      </c>
    </row>
    <row r="266" spans="1:13">
      <c r="A266" s="99" t="s">
        <v>4532</v>
      </c>
      <c r="B266" s="18">
        <v>-389000</v>
      </c>
      <c r="C266" s="18">
        <v>0</v>
      </c>
      <c r="D266" s="18">
        <f t="shared" si="18"/>
        <v>-389000</v>
      </c>
      <c r="E266" s="99" t="s">
        <v>4535</v>
      </c>
      <c r="F266" s="99">
        <v>4</v>
      </c>
      <c r="G266" s="36">
        <f t="shared" si="21"/>
        <v>72</v>
      </c>
      <c r="H266" s="99">
        <f t="shared" si="15"/>
        <v>0</v>
      </c>
      <c r="I266" s="99">
        <f t="shared" si="13"/>
        <v>-28008000</v>
      </c>
      <c r="J266" s="99">
        <f t="shared" si="20"/>
        <v>0</v>
      </c>
      <c r="K266" s="99">
        <f t="shared" si="17"/>
        <v>-28008000</v>
      </c>
      <c r="M266" t="s">
        <v>25</v>
      </c>
    </row>
    <row r="267" spans="1:13">
      <c r="A267" s="99" t="s">
        <v>4559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68</v>
      </c>
      <c r="H267" s="99">
        <f t="shared" si="15"/>
        <v>1</v>
      </c>
      <c r="I267" s="99">
        <f t="shared" si="13"/>
        <v>14740000</v>
      </c>
      <c r="J267" s="99">
        <f t="shared" si="20"/>
        <v>0</v>
      </c>
      <c r="K267" s="99">
        <f t="shared" si="17"/>
        <v>14740000</v>
      </c>
    </row>
    <row r="268" spans="1:13">
      <c r="A268" s="99" t="s">
        <v>4560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68</v>
      </c>
      <c r="H268" s="99">
        <f t="shared" si="15"/>
        <v>0</v>
      </c>
      <c r="I268" s="99">
        <f t="shared" si="13"/>
        <v>-7438520</v>
      </c>
      <c r="J268" s="99">
        <f t="shared" si="20"/>
        <v>0</v>
      </c>
      <c r="K268" s="99">
        <f t="shared" si="17"/>
        <v>-7438520</v>
      </c>
    </row>
    <row r="269" spans="1:13">
      <c r="A269" s="99" t="s">
        <v>4563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66</v>
      </c>
      <c r="H269" s="99">
        <f t="shared" si="15"/>
        <v>1</v>
      </c>
      <c r="I269" s="99">
        <f t="shared" si="13"/>
        <v>6500000</v>
      </c>
      <c r="J269" s="99">
        <f t="shared" si="20"/>
        <v>0</v>
      </c>
      <c r="K269" s="99">
        <f t="shared" si="17"/>
        <v>6500000</v>
      </c>
    </row>
    <row r="270" spans="1:13">
      <c r="A270" s="99" t="s">
        <v>4563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66</v>
      </c>
      <c r="H270" s="99">
        <f t="shared" si="15"/>
        <v>1</v>
      </c>
      <c r="I270" s="99">
        <f t="shared" si="13"/>
        <v>169000000</v>
      </c>
      <c r="J270" s="99">
        <f t="shared" si="20"/>
        <v>0</v>
      </c>
      <c r="K270" s="99">
        <f t="shared" si="17"/>
        <v>169000000</v>
      </c>
      <c r="L270" t="s">
        <v>25</v>
      </c>
    </row>
    <row r="271" spans="1:13">
      <c r="A271" s="99" t="s">
        <v>4566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65</v>
      </c>
      <c r="H271" s="99">
        <f t="shared" si="15"/>
        <v>1</v>
      </c>
      <c r="I271" s="99">
        <f t="shared" si="13"/>
        <v>281600000</v>
      </c>
      <c r="J271" s="99">
        <f t="shared" si="20"/>
        <v>0</v>
      </c>
      <c r="K271" s="99">
        <f t="shared" si="17"/>
        <v>281600000</v>
      </c>
    </row>
    <row r="272" spans="1:13">
      <c r="A272" s="99" t="s">
        <v>4566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65</v>
      </c>
      <c r="H272" s="99">
        <f t="shared" si="15"/>
        <v>0</v>
      </c>
      <c r="I272" s="99">
        <f t="shared" si="13"/>
        <v>-6175000</v>
      </c>
      <c r="J272" s="99">
        <f t="shared" si="20"/>
        <v>0</v>
      </c>
      <c r="K272" s="99">
        <f t="shared" si="17"/>
        <v>-6175000</v>
      </c>
    </row>
    <row r="273" spans="1:12">
      <c r="A273" s="99" t="s">
        <v>4571</v>
      </c>
      <c r="B273" s="18">
        <v>-900000</v>
      </c>
      <c r="C273" s="18">
        <v>0</v>
      </c>
      <c r="D273" s="18">
        <f t="shared" si="18"/>
        <v>-900000</v>
      </c>
      <c r="E273" s="99" t="s">
        <v>4577</v>
      </c>
      <c r="F273" s="99">
        <v>1</v>
      </c>
      <c r="G273" s="36">
        <f t="shared" si="21"/>
        <v>64</v>
      </c>
      <c r="H273" s="99">
        <f t="shared" si="15"/>
        <v>0</v>
      </c>
      <c r="I273" s="99">
        <f t="shared" si="13"/>
        <v>-57600000</v>
      </c>
      <c r="J273" s="99">
        <f t="shared" si="20"/>
        <v>0</v>
      </c>
      <c r="K273" s="99">
        <f t="shared" si="17"/>
        <v>-57600000</v>
      </c>
    </row>
    <row r="274" spans="1:12">
      <c r="A274" s="99" t="s">
        <v>4574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63</v>
      </c>
      <c r="H274" s="99">
        <f t="shared" si="15"/>
        <v>1</v>
      </c>
      <c r="I274" s="99">
        <f t="shared" si="13"/>
        <v>155000000</v>
      </c>
      <c r="J274" s="99">
        <f t="shared" si="20"/>
        <v>0</v>
      </c>
      <c r="K274" s="99">
        <f t="shared" si="17"/>
        <v>155000000</v>
      </c>
    </row>
    <row r="275" spans="1:12">
      <c r="A275" s="99" t="s">
        <v>4574</v>
      </c>
      <c r="B275" s="18">
        <v>-1287000</v>
      </c>
      <c r="C275" s="18">
        <v>0</v>
      </c>
      <c r="D275" s="18">
        <f t="shared" si="18"/>
        <v>-1287000</v>
      </c>
      <c r="E275" s="99" t="s">
        <v>4575</v>
      </c>
      <c r="F275" s="99">
        <v>2</v>
      </c>
      <c r="G275" s="36">
        <f t="shared" si="21"/>
        <v>63</v>
      </c>
      <c r="H275" s="99">
        <f t="shared" si="15"/>
        <v>0</v>
      </c>
      <c r="I275" s="99">
        <f t="shared" si="13"/>
        <v>-81081000</v>
      </c>
      <c r="J275" s="99">
        <f t="shared" si="20"/>
        <v>0</v>
      </c>
      <c r="K275" s="99">
        <f t="shared" si="17"/>
        <v>-81081000</v>
      </c>
    </row>
    <row r="276" spans="1:12">
      <c r="A276" s="99" t="s">
        <v>4572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61</v>
      </c>
      <c r="H276" s="99">
        <f t="shared" si="15"/>
        <v>1</v>
      </c>
      <c r="I276" s="99">
        <f t="shared" si="13"/>
        <v>228000000</v>
      </c>
      <c r="J276" s="99">
        <f t="shared" si="20"/>
        <v>0</v>
      </c>
      <c r="K276" s="99">
        <f t="shared" si="17"/>
        <v>228000000</v>
      </c>
    </row>
    <row r="277" spans="1:12">
      <c r="A277" s="99" t="s">
        <v>4584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60</v>
      </c>
      <c r="H277" s="99">
        <f t="shared" si="15"/>
        <v>1</v>
      </c>
      <c r="I277" s="99">
        <f t="shared" si="13"/>
        <v>1239000000</v>
      </c>
      <c r="J277" s="99">
        <f t="shared" si="20"/>
        <v>0</v>
      </c>
      <c r="K277" s="99">
        <f t="shared" si="17"/>
        <v>1239000000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59</v>
      </c>
      <c r="H278" s="99">
        <f t="shared" si="15"/>
        <v>1</v>
      </c>
      <c r="I278" s="99">
        <f t="shared" si="13"/>
        <v>174000000</v>
      </c>
      <c r="J278" s="99">
        <f t="shared" si="20"/>
        <v>0</v>
      </c>
      <c r="K278" s="99">
        <f t="shared" si="17"/>
        <v>174000000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59</v>
      </c>
      <c r="H279" s="99">
        <f t="shared" si="15"/>
        <v>1</v>
      </c>
      <c r="I279" s="99">
        <f t="shared" si="13"/>
        <v>116000000</v>
      </c>
      <c r="J279" s="99">
        <f t="shared" si="20"/>
        <v>0</v>
      </c>
      <c r="K279" s="99">
        <f t="shared" si="17"/>
        <v>116000000</v>
      </c>
    </row>
    <row r="280" spans="1:12">
      <c r="A280" s="99" t="s">
        <v>4588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58</v>
      </c>
      <c r="H280" s="99">
        <f t="shared" si="15"/>
        <v>0</v>
      </c>
      <c r="I280" s="99">
        <f t="shared" si="13"/>
        <v>-116000000</v>
      </c>
      <c r="J280" s="99">
        <f t="shared" si="20"/>
        <v>0</v>
      </c>
      <c r="K280" s="99">
        <f t="shared" si="17"/>
        <v>-116000000</v>
      </c>
    </row>
    <row r="281" spans="1:12">
      <c r="A281" s="99" t="s">
        <v>4590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57</v>
      </c>
      <c r="H281" s="99">
        <f t="shared" si="15"/>
        <v>0</v>
      </c>
      <c r="I281" s="99">
        <f t="shared" si="13"/>
        <v>-570000000</v>
      </c>
      <c r="J281" s="99">
        <f t="shared" si="20"/>
        <v>0</v>
      </c>
      <c r="K281" s="99">
        <f t="shared" si="17"/>
        <v>-570000000</v>
      </c>
    </row>
    <row r="282" spans="1:12">
      <c r="A282" s="99" t="s">
        <v>4592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53</v>
      </c>
      <c r="H282" s="99">
        <f t="shared" si="15"/>
        <v>0</v>
      </c>
      <c r="I282" s="99">
        <f t="shared" si="13"/>
        <v>-885100000</v>
      </c>
      <c r="J282" s="99">
        <f t="shared" ref="J282:J296" si="22">C282*(G282-H282)</f>
        <v>0</v>
      </c>
      <c r="K282" s="99">
        <f t="shared" ref="K282:K296" si="23">D282*(G282-H282)</f>
        <v>-885100000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51</v>
      </c>
      <c r="H283" s="99">
        <f t="shared" si="15"/>
        <v>1</v>
      </c>
      <c r="I283" s="99">
        <f t="shared" si="13"/>
        <v>600000000</v>
      </c>
      <c r="J283" s="99">
        <f t="shared" si="22"/>
        <v>0</v>
      </c>
      <c r="K283" s="99">
        <f t="shared" si="23"/>
        <v>600000000</v>
      </c>
    </row>
    <row r="284" spans="1:12">
      <c r="A284" s="99" t="s">
        <v>4606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50</v>
      </c>
      <c r="H284" s="99">
        <f t="shared" si="15"/>
        <v>1</v>
      </c>
      <c r="I284" s="99">
        <f t="shared" si="13"/>
        <v>93100000</v>
      </c>
      <c r="J284" s="99">
        <f t="shared" si="22"/>
        <v>0</v>
      </c>
      <c r="K284" s="99">
        <f t="shared" si="23"/>
        <v>93100000</v>
      </c>
    </row>
    <row r="285" spans="1:12">
      <c r="A285" s="99" t="s">
        <v>4606</v>
      </c>
      <c r="B285" s="18">
        <v>-3995000</v>
      </c>
      <c r="C285" s="18">
        <v>0</v>
      </c>
      <c r="D285" s="18">
        <f t="shared" si="18"/>
        <v>-3995000</v>
      </c>
      <c r="E285" s="99" t="s">
        <v>4608</v>
      </c>
      <c r="F285" s="99">
        <v>3</v>
      </c>
      <c r="G285" s="36">
        <f t="shared" si="21"/>
        <v>50</v>
      </c>
      <c r="H285" s="99">
        <f t="shared" si="15"/>
        <v>0</v>
      </c>
      <c r="I285" s="99">
        <f t="shared" si="13"/>
        <v>-199750000</v>
      </c>
      <c r="J285" s="99">
        <f t="shared" si="22"/>
        <v>0</v>
      </c>
      <c r="K285" s="99">
        <f t="shared" si="23"/>
        <v>-199750000</v>
      </c>
    </row>
    <row r="286" spans="1:12">
      <c r="A286" s="99" t="s">
        <v>4616</v>
      </c>
      <c r="B286" s="18">
        <v>-2010700</v>
      </c>
      <c r="C286" s="18">
        <v>0</v>
      </c>
      <c r="D286" s="18">
        <f t="shared" si="18"/>
        <v>-2010700</v>
      </c>
      <c r="E286" s="99" t="s">
        <v>4621</v>
      </c>
      <c r="F286" s="99">
        <v>0</v>
      </c>
      <c r="G286" s="36">
        <f t="shared" si="21"/>
        <v>47</v>
      </c>
      <c r="H286" s="99">
        <f t="shared" si="15"/>
        <v>0</v>
      </c>
      <c r="I286" s="99">
        <f t="shared" si="13"/>
        <v>-94502900</v>
      </c>
      <c r="J286" s="99">
        <f t="shared" si="22"/>
        <v>0</v>
      </c>
      <c r="K286" s="99">
        <f t="shared" si="23"/>
        <v>-94502900</v>
      </c>
    </row>
    <row r="287" spans="1:12">
      <c r="A287" s="99" t="s">
        <v>4616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47</v>
      </c>
      <c r="H287" s="99">
        <f t="shared" si="15"/>
        <v>0</v>
      </c>
      <c r="I287" s="99">
        <f t="shared" si="13"/>
        <v>-188000000</v>
      </c>
      <c r="J287" s="99">
        <f t="shared" si="22"/>
        <v>0</v>
      </c>
      <c r="K287" s="99">
        <f t="shared" si="23"/>
        <v>-188000000</v>
      </c>
    </row>
    <row r="288" spans="1:12">
      <c r="A288" s="99" t="s">
        <v>4622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46</v>
      </c>
      <c r="H288" s="99">
        <f t="shared" si="15"/>
        <v>0</v>
      </c>
      <c r="I288" s="99">
        <f t="shared" si="13"/>
        <v>-262200000</v>
      </c>
      <c r="J288" s="99">
        <f t="shared" si="22"/>
        <v>0</v>
      </c>
      <c r="K288" s="99">
        <f t="shared" si="23"/>
        <v>-262200000</v>
      </c>
      <c r="L288" t="s">
        <v>25</v>
      </c>
    </row>
    <row r="289" spans="1:13">
      <c r="A289" s="99" t="s">
        <v>4632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44</v>
      </c>
      <c r="H289" s="99">
        <f t="shared" si="15"/>
        <v>1</v>
      </c>
      <c r="I289" s="99">
        <f t="shared" si="13"/>
        <v>344000000</v>
      </c>
      <c r="J289" s="99">
        <f t="shared" si="22"/>
        <v>0</v>
      </c>
      <c r="K289" s="99">
        <f t="shared" si="23"/>
        <v>344000000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43</v>
      </c>
      <c r="H290" s="99">
        <f t="shared" si="15"/>
        <v>0</v>
      </c>
      <c r="I290" s="99">
        <f t="shared" si="13"/>
        <v>-344000000</v>
      </c>
      <c r="J290" s="99">
        <f t="shared" si="22"/>
        <v>0</v>
      </c>
      <c r="K290" s="99">
        <f t="shared" si="23"/>
        <v>-344000000</v>
      </c>
    </row>
    <row r="291" spans="1:13">
      <c r="A291" s="99" t="s">
        <v>4637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40</v>
      </c>
      <c r="H291" s="99">
        <f t="shared" si="15"/>
        <v>0</v>
      </c>
      <c r="I291" s="99">
        <f t="shared" si="13"/>
        <v>-240000000</v>
      </c>
      <c r="J291" s="99">
        <f t="shared" si="22"/>
        <v>0</v>
      </c>
      <c r="K291" s="99">
        <f t="shared" si="23"/>
        <v>-240000000</v>
      </c>
    </row>
    <row r="292" spans="1:13">
      <c r="A292" s="99" t="s">
        <v>4637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40</v>
      </c>
      <c r="H292" s="99">
        <f t="shared" si="15"/>
        <v>0</v>
      </c>
      <c r="I292" s="99">
        <f t="shared" si="13"/>
        <v>-3092600</v>
      </c>
      <c r="J292" s="99">
        <f t="shared" si="22"/>
        <v>0</v>
      </c>
      <c r="K292" s="99">
        <f t="shared" si="23"/>
        <v>-3092600</v>
      </c>
    </row>
    <row r="293" spans="1:13">
      <c r="A293" s="99" t="s">
        <v>4643</v>
      </c>
      <c r="B293" s="18">
        <v>-96850</v>
      </c>
      <c r="C293" s="18">
        <v>0</v>
      </c>
      <c r="D293" s="18">
        <f t="shared" si="18"/>
        <v>-96850</v>
      </c>
      <c r="E293" s="99" t="s">
        <v>4649</v>
      </c>
      <c r="F293" s="99">
        <v>2</v>
      </c>
      <c r="G293" s="36">
        <f t="shared" si="21"/>
        <v>39</v>
      </c>
      <c r="H293" s="99">
        <f t="shared" si="15"/>
        <v>0</v>
      </c>
      <c r="I293" s="99">
        <f t="shared" si="13"/>
        <v>-3777150</v>
      </c>
      <c r="J293" s="99">
        <f t="shared" si="22"/>
        <v>0</v>
      </c>
      <c r="K293" s="99">
        <f t="shared" si="23"/>
        <v>-3777150</v>
      </c>
    </row>
    <row r="294" spans="1:13">
      <c r="A294" s="99" t="s">
        <v>4653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37</v>
      </c>
      <c r="H294" s="99">
        <f t="shared" si="15"/>
        <v>0</v>
      </c>
      <c r="I294" s="99">
        <f t="shared" si="13"/>
        <v>-1665000</v>
      </c>
      <c r="J294" s="99">
        <f t="shared" si="22"/>
        <v>0</v>
      </c>
      <c r="K294" s="99">
        <f t="shared" si="23"/>
        <v>-1665000</v>
      </c>
    </row>
    <row r="295" spans="1:13">
      <c r="A295" s="99" t="s">
        <v>4653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37</v>
      </c>
      <c r="H295" s="99">
        <f t="shared" si="15"/>
        <v>0</v>
      </c>
      <c r="I295" s="99">
        <f t="shared" si="13"/>
        <v>-1770376</v>
      </c>
      <c r="J295" s="99">
        <f t="shared" si="22"/>
        <v>0</v>
      </c>
      <c r="K295" s="99">
        <f t="shared" si="23"/>
        <v>-1770376</v>
      </c>
      <c r="M295" t="s">
        <v>25</v>
      </c>
    </row>
    <row r="296" spans="1:13">
      <c r="A296" s="99" t="s">
        <v>4669</v>
      </c>
      <c r="B296" s="18">
        <v>-200000</v>
      </c>
      <c r="C296" s="18">
        <v>0</v>
      </c>
      <c r="D296" s="18">
        <f t="shared" si="18"/>
        <v>-200000</v>
      </c>
      <c r="E296" s="99" t="s">
        <v>4670</v>
      </c>
      <c r="F296" s="99">
        <v>3</v>
      </c>
      <c r="G296" s="36">
        <f t="shared" si="21"/>
        <v>36</v>
      </c>
      <c r="H296" s="99">
        <f t="shared" si="15"/>
        <v>0</v>
      </c>
      <c r="I296" s="99">
        <f t="shared" si="13"/>
        <v>-7200000</v>
      </c>
      <c r="J296" s="99">
        <f t="shared" si="22"/>
        <v>0</v>
      </c>
      <c r="K296" s="99">
        <f t="shared" si="23"/>
        <v>-7200000</v>
      </c>
    </row>
    <row r="297" spans="1:13">
      <c r="A297" s="99" t="s">
        <v>4680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33</v>
      </c>
      <c r="H297" s="99">
        <f t="shared" si="15"/>
        <v>0</v>
      </c>
      <c r="I297" s="99">
        <f t="shared" ref="I297:I308" si="24">B297*(G297-H297)</f>
        <v>-1995180</v>
      </c>
      <c r="J297" s="99">
        <f t="shared" ref="J297:J308" si="25">C297*(G297-H297)</f>
        <v>0</v>
      </c>
      <c r="K297" s="99">
        <f t="shared" ref="K297:K308" si="26">D297*(G297-H297)</f>
        <v>-1995180</v>
      </c>
    </row>
    <row r="298" spans="1:13">
      <c r="A298" s="99" t="s">
        <v>4686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32</v>
      </c>
      <c r="H298" s="99">
        <f t="shared" si="15"/>
        <v>0</v>
      </c>
      <c r="I298" s="99">
        <f t="shared" si="24"/>
        <v>-1920000</v>
      </c>
      <c r="J298" s="99">
        <f t="shared" si="25"/>
        <v>0</v>
      </c>
      <c r="K298" s="99">
        <f t="shared" si="26"/>
        <v>-1920000</v>
      </c>
    </row>
    <row r="299" spans="1:13">
      <c r="A299" s="99" t="s">
        <v>4686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32</v>
      </c>
      <c r="H299" s="99">
        <f t="shared" si="15"/>
        <v>1</v>
      </c>
      <c r="I299" s="99">
        <f t="shared" si="24"/>
        <v>74400000</v>
      </c>
      <c r="J299" s="99">
        <f t="shared" si="25"/>
        <v>0</v>
      </c>
      <c r="K299" s="99">
        <f t="shared" si="26"/>
        <v>74400000</v>
      </c>
    </row>
    <row r="300" spans="1:13">
      <c r="A300" s="99" t="s">
        <v>4686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32</v>
      </c>
      <c r="H300" s="99">
        <f t="shared" si="15"/>
        <v>0</v>
      </c>
      <c r="I300" s="99">
        <f t="shared" si="24"/>
        <v>-4389216</v>
      </c>
      <c r="J300" s="99">
        <f t="shared" si="25"/>
        <v>0</v>
      </c>
      <c r="K300" s="99">
        <f t="shared" si="26"/>
        <v>-4389216</v>
      </c>
      <c r="L300" t="s">
        <v>25</v>
      </c>
      <c r="M300" t="s">
        <v>25</v>
      </c>
    </row>
    <row r="301" spans="1:13">
      <c r="A301" s="99" t="s">
        <v>4686</v>
      </c>
      <c r="B301" s="18">
        <v>-51400</v>
      </c>
      <c r="C301" s="18">
        <v>0</v>
      </c>
      <c r="D301" s="18">
        <f t="shared" si="18"/>
        <v>-51400</v>
      </c>
      <c r="E301" s="99" t="s">
        <v>4693</v>
      </c>
      <c r="F301" s="99">
        <v>1</v>
      </c>
      <c r="G301" s="36">
        <f t="shared" si="27"/>
        <v>32</v>
      </c>
      <c r="H301" s="99">
        <f t="shared" si="15"/>
        <v>0</v>
      </c>
      <c r="I301" s="99">
        <f t="shared" si="24"/>
        <v>-1644800</v>
      </c>
      <c r="J301" s="99">
        <f t="shared" si="25"/>
        <v>0</v>
      </c>
      <c r="K301" s="99">
        <f t="shared" si="26"/>
        <v>-1644800</v>
      </c>
    </row>
    <row r="302" spans="1:13">
      <c r="A302" s="99" t="s">
        <v>4696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31</v>
      </c>
      <c r="H302" s="99">
        <f t="shared" si="15"/>
        <v>0</v>
      </c>
      <c r="I302" s="99">
        <f t="shared" si="24"/>
        <v>-69750000</v>
      </c>
      <c r="J302" s="99">
        <f t="shared" si="25"/>
        <v>0</v>
      </c>
      <c r="K302" s="99">
        <f t="shared" si="26"/>
        <v>-69750000</v>
      </c>
      <c r="M302" t="s">
        <v>25</v>
      </c>
    </row>
    <row r="303" spans="1:13">
      <c r="A303" s="99" t="s">
        <v>4696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31</v>
      </c>
      <c r="H303" s="99">
        <f t="shared" si="15"/>
        <v>1</v>
      </c>
      <c r="I303" s="99">
        <f t="shared" si="24"/>
        <v>21000000</v>
      </c>
      <c r="J303" s="99">
        <f t="shared" si="25"/>
        <v>0</v>
      </c>
      <c r="K303" s="99">
        <f t="shared" si="26"/>
        <v>21000000</v>
      </c>
    </row>
    <row r="304" spans="1:13">
      <c r="A304" s="99" t="s">
        <v>4728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29</v>
      </c>
      <c r="H304" s="99">
        <f t="shared" si="15"/>
        <v>1</v>
      </c>
      <c r="I304" s="99">
        <f t="shared" si="24"/>
        <v>15960000</v>
      </c>
      <c r="J304" s="99">
        <f t="shared" si="25"/>
        <v>0</v>
      </c>
      <c r="K304" s="99">
        <f t="shared" si="26"/>
        <v>15960000</v>
      </c>
    </row>
    <row r="305" spans="1:13">
      <c r="A305" s="99" t="s">
        <v>4728</v>
      </c>
      <c r="B305" s="18">
        <v>-276773</v>
      </c>
      <c r="C305" s="18">
        <v>0</v>
      </c>
      <c r="D305" s="18">
        <f t="shared" si="18"/>
        <v>-276773</v>
      </c>
      <c r="E305" s="99" t="s">
        <v>4732</v>
      </c>
      <c r="F305" s="99">
        <v>2</v>
      </c>
      <c r="G305" s="36">
        <f t="shared" si="27"/>
        <v>29</v>
      </c>
      <c r="H305" s="99">
        <f t="shared" si="15"/>
        <v>0</v>
      </c>
      <c r="I305" s="99">
        <f t="shared" si="24"/>
        <v>-8026417</v>
      </c>
      <c r="J305" s="99">
        <f t="shared" si="25"/>
        <v>0</v>
      </c>
      <c r="K305" s="99">
        <f t="shared" si="26"/>
        <v>-8026417</v>
      </c>
    </row>
    <row r="306" spans="1:13">
      <c r="A306" s="99" t="s">
        <v>4733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27</v>
      </c>
      <c r="H306" s="99">
        <f t="shared" si="15"/>
        <v>0</v>
      </c>
      <c r="I306" s="99">
        <f t="shared" si="24"/>
        <v>-3097170</v>
      </c>
      <c r="J306" s="99">
        <f t="shared" si="25"/>
        <v>0</v>
      </c>
      <c r="K306" s="99">
        <f t="shared" si="26"/>
        <v>-3097170</v>
      </c>
      <c r="M306" t="s">
        <v>25</v>
      </c>
    </row>
    <row r="307" spans="1:13">
      <c r="A307" s="99" t="s">
        <v>4749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23</v>
      </c>
      <c r="H307" s="99">
        <f t="shared" si="15"/>
        <v>0</v>
      </c>
      <c r="I307" s="99">
        <f t="shared" si="24"/>
        <v>-23000</v>
      </c>
      <c r="J307" s="99">
        <f t="shared" si="25"/>
        <v>0</v>
      </c>
      <c r="K307" s="99">
        <f t="shared" si="26"/>
        <v>-23000</v>
      </c>
    </row>
    <row r="308" spans="1:13">
      <c r="A308" s="99" t="s">
        <v>4756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22</v>
      </c>
      <c r="H308" s="99">
        <f t="shared" si="15"/>
        <v>1</v>
      </c>
      <c r="I308" s="99">
        <f t="shared" si="24"/>
        <v>5250000</v>
      </c>
      <c r="J308" s="99">
        <f t="shared" si="25"/>
        <v>0</v>
      </c>
      <c r="K308" s="99">
        <f t="shared" si="26"/>
        <v>5250000</v>
      </c>
    </row>
    <row r="309" spans="1:13">
      <c r="A309" s="99" t="s">
        <v>4756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25" si="28">G310+F309</f>
        <v>22</v>
      </c>
      <c r="H309" s="99">
        <f t="shared" ref="H309:H325" si="29">IF(B309&gt;0,1,0)</f>
        <v>0</v>
      </c>
      <c r="I309" s="99">
        <f t="shared" ref="I309:I325" si="30">B309*(G309-H309)</f>
        <v>-1212640</v>
      </c>
      <c r="J309" s="99">
        <f t="shared" ref="J309:J325" si="31">C309*(G309-H309)</f>
        <v>0</v>
      </c>
      <c r="K309" s="99">
        <f t="shared" ref="K309:K325" si="32">D309*(G309-H309)</f>
        <v>-1212640</v>
      </c>
    </row>
    <row r="310" spans="1:13">
      <c r="A310" s="99" t="s">
        <v>4768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19</v>
      </c>
      <c r="H310" s="99">
        <f t="shared" si="29"/>
        <v>0</v>
      </c>
      <c r="I310" s="99">
        <f t="shared" si="30"/>
        <v>-2185000</v>
      </c>
      <c r="J310" s="99">
        <f t="shared" si="31"/>
        <v>0</v>
      </c>
      <c r="K310" s="99">
        <f t="shared" si="32"/>
        <v>-2185000</v>
      </c>
    </row>
    <row r="311" spans="1:13">
      <c r="A311" s="99" t="s">
        <v>4758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18</v>
      </c>
      <c r="H311" s="99">
        <f t="shared" si="29"/>
        <v>0</v>
      </c>
      <c r="I311" s="99">
        <f t="shared" si="30"/>
        <v>-3861882</v>
      </c>
      <c r="J311" s="99">
        <f t="shared" si="31"/>
        <v>0</v>
      </c>
      <c r="K311" s="99">
        <f t="shared" si="32"/>
        <v>-3861882</v>
      </c>
      <c r="L311" t="s">
        <v>25</v>
      </c>
    </row>
    <row r="312" spans="1:13">
      <c r="A312" s="99" t="s">
        <v>4760</v>
      </c>
      <c r="B312" s="18">
        <v>-324747</v>
      </c>
      <c r="C312" s="18">
        <v>0</v>
      </c>
      <c r="D312" s="18">
        <f t="shared" si="18"/>
        <v>-324747</v>
      </c>
      <c r="E312" s="99" t="s">
        <v>4769</v>
      </c>
      <c r="F312" s="99">
        <v>3</v>
      </c>
      <c r="G312" s="36">
        <f t="shared" si="28"/>
        <v>16</v>
      </c>
      <c r="H312" s="99">
        <f t="shared" si="29"/>
        <v>0</v>
      </c>
      <c r="I312" s="99">
        <f t="shared" si="30"/>
        <v>-5195952</v>
      </c>
      <c r="J312" s="99">
        <f t="shared" si="31"/>
        <v>0</v>
      </c>
      <c r="K312" s="99">
        <f t="shared" si="32"/>
        <v>-5195952</v>
      </c>
      <c r="M312" t="s">
        <v>25</v>
      </c>
    </row>
    <row r="313" spans="1:13">
      <c r="A313" s="99" t="s">
        <v>4778</v>
      </c>
      <c r="B313" s="18">
        <v>-297992</v>
      </c>
      <c r="C313" s="18">
        <v>0</v>
      </c>
      <c r="D313" s="18">
        <f t="shared" si="18"/>
        <v>-297992</v>
      </c>
      <c r="E313" s="99" t="s">
        <v>4779</v>
      </c>
      <c r="F313" s="99">
        <v>2</v>
      </c>
      <c r="G313" s="36">
        <f t="shared" si="28"/>
        <v>13</v>
      </c>
      <c r="H313" s="99">
        <f t="shared" si="29"/>
        <v>0</v>
      </c>
      <c r="I313" s="99">
        <f t="shared" si="30"/>
        <v>-3873896</v>
      </c>
      <c r="J313" s="99">
        <f t="shared" si="31"/>
        <v>0</v>
      </c>
      <c r="K313" s="99">
        <f t="shared" si="32"/>
        <v>-3873896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11</v>
      </c>
      <c r="H314" s="99">
        <f t="shared" si="29"/>
        <v>0</v>
      </c>
      <c r="I314" s="99">
        <f t="shared" si="30"/>
        <v>-1430000</v>
      </c>
      <c r="J314" s="99">
        <f t="shared" si="31"/>
        <v>0</v>
      </c>
      <c r="K314" s="99">
        <f t="shared" si="32"/>
        <v>-1430000</v>
      </c>
    </row>
    <row r="315" spans="1:13">
      <c r="A315" s="99" t="s">
        <v>4788</v>
      </c>
      <c r="B315" s="18">
        <v>-40000</v>
      </c>
      <c r="C315" s="18">
        <v>0</v>
      </c>
      <c r="D315" s="18">
        <f t="shared" si="18"/>
        <v>-40000</v>
      </c>
      <c r="E315" s="99" t="s">
        <v>4807</v>
      </c>
      <c r="F315" s="99">
        <v>4</v>
      </c>
      <c r="G315" s="36">
        <f t="shared" si="28"/>
        <v>10</v>
      </c>
      <c r="H315" s="99">
        <f t="shared" si="29"/>
        <v>0</v>
      </c>
      <c r="I315" s="99">
        <f t="shared" si="30"/>
        <v>-400000</v>
      </c>
      <c r="J315" s="99">
        <f t="shared" si="31"/>
        <v>0</v>
      </c>
      <c r="K315" s="99">
        <f t="shared" si="32"/>
        <v>-400000</v>
      </c>
    </row>
    <row r="316" spans="1:13">
      <c r="A316" s="99" t="s">
        <v>4813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6</v>
      </c>
      <c r="H316" s="99">
        <f t="shared" si="29"/>
        <v>1</v>
      </c>
      <c r="I316" s="99">
        <f t="shared" si="30"/>
        <v>8348450</v>
      </c>
      <c r="J316" s="99">
        <f t="shared" si="31"/>
        <v>0</v>
      </c>
      <c r="K316" s="99">
        <f t="shared" si="32"/>
        <v>8348450</v>
      </c>
    </row>
    <row r="317" spans="1:13">
      <c r="A317" s="11" t="s">
        <v>4839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2</v>
      </c>
      <c r="H317" s="99">
        <f t="shared" si="29"/>
        <v>0</v>
      </c>
      <c r="I317" s="99">
        <f t="shared" si="30"/>
        <v>-1097086</v>
      </c>
      <c r="J317" s="99">
        <f t="shared" si="31"/>
        <v>0</v>
      </c>
      <c r="K317" s="99">
        <f t="shared" si="32"/>
        <v>-1097086</v>
      </c>
    </row>
    <row r="318" spans="1:13">
      <c r="A318" s="11" t="s">
        <v>4851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1</v>
      </c>
      <c r="H318" s="99">
        <f t="shared" si="29"/>
        <v>1</v>
      </c>
      <c r="I318" s="99">
        <f t="shared" si="30"/>
        <v>0</v>
      </c>
      <c r="J318" s="99">
        <f t="shared" si="31"/>
        <v>0</v>
      </c>
      <c r="K318" s="99">
        <f t="shared" si="32"/>
        <v>0</v>
      </c>
    </row>
    <row r="319" spans="1:13">
      <c r="A319" s="11" t="s">
        <v>4851</v>
      </c>
      <c r="B319" s="18">
        <v>-1866154</v>
      </c>
      <c r="C319" s="18">
        <v>0</v>
      </c>
      <c r="D319" s="18">
        <f t="shared" si="18"/>
        <v>-1866154</v>
      </c>
      <c r="E319" s="19" t="s">
        <v>4861</v>
      </c>
      <c r="F319" s="99">
        <v>0</v>
      </c>
      <c r="G319" s="36">
        <f t="shared" si="28"/>
        <v>1</v>
      </c>
      <c r="H319" s="99">
        <f t="shared" si="29"/>
        <v>0</v>
      </c>
      <c r="I319" s="99">
        <f t="shared" si="30"/>
        <v>-1866154</v>
      </c>
      <c r="J319" s="99">
        <f t="shared" si="31"/>
        <v>0</v>
      </c>
      <c r="K319" s="99">
        <f t="shared" si="32"/>
        <v>-1866154</v>
      </c>
    </row>
    <row r="320" spans="1:13">
      <c r="A320" s="11" t="s">
        <v>4851</v>
      </c>
      <c r="B320" s="18">
        <v>-36600</v>
      </c>
      <c r="C320" s="18">
        <v>0</v>
      </c>
      <c r="D320" s="18">
        <f t="shared" si="18"/>
        <v>-36600</v>
      </c>
      <c r="E320" s="99" t="s">
        <v>4862</v>
      </c>
      <c r="F320" s="99">
        <v>1</v>
      </c>
      <c r="G320" s="36">
        <f t="shared" si="28"/>
        <v>1</v>
      </c>
      <c r="H320" s="99">
        <f t="shared" si="29"/>
        <v>0</v>
      </c>
      <c r="I320" s="99">
        <f t="shared" si="30"/>
        <v>-36600</v>
      </c>
      <c r="J320" s="99">
        <f t="shared" si="31"/>
        <v>0</v>
      </c>
      <c r="K320" s="99">
        <f t="shared" si="32"/>
        <v>-36600</v>
      </c>
    </row>
    <row r="321" spans="1:11">
      <c r="A321" s="11"/>
      <c r="B321" s="18"/>
      <c r="C321" s="18"/>
      <c r="D321" s="18"/>
      <c r="E321" s="99"/>
      <c r="F321" s="99"/>
      <c r="G321" s="36">
        <f t="shared" si="28"/>
        <v>0</v>
      </c>
      <c r="H321" s="99">
        <f t="shared" si="29"/>
        <v>0</v>
      </c>
      <c r="I321" s="99">
        <f t="shared" si="30"/>
        <v>0</v>
      </c>
      <c r="J321" s="99">
        <f t="shared" si="31"/>
        <v>0</v>
      </c>
      <c r="K321" s="99">
        <f t="shared" si="32"/>
        <v>0</v>
      </c>
    </row>
    <row r="322" spans="1:11">
      <c r="A322" s="11"/>
      <c r="B322" s="18"/>
      <c r="C322" s="18"/>
      <c r="D322" s="18"/>
      <c r="E322" s="99"/>
      <c r="F322" s="99"/>
      <c r="G322" s="36">
        <f t="shared" si="28"/>
        <v>0</v>
      </c>
      <c r="H322" s="99">
        <f t="shared" si="29"/>
        <v>0</v>
      </c>
      <c r="I322" s="99">
        <f t="shared" si="30"/>
        <v>0</v>
      </c>
      <c r="J322" s="99">
        <f t="shared" si="31"/>
        <v>0</v>
      </c>
      <c r="K322" s="99">
        <f t="shared" si="32"/>
        <v>0</v>
      </c>
    </row>
    <row r="323" spans="1:11">
      <c r="A323" s="99"/>
      <c r="B323" s="18"/>
      <c r="C323" s="18"/>
      <c r="D323" s="18"/>
      <c r="E323" s="99"/>
      <c r="F323" s="99"/>
      <c r="G323" s="36">
        <f t="shared" si="28"/>
        <v>0</v>
      </c>
      <c r="H323" s="99">
        <f t="shared" si="29"/>
        <v>0</v>
      </c>
      <c r="I323" s="99">
        <f t="shared" si="30"/>
        <v>0</v>
      </c>
      <c r="J323" s="99">
        <f t="shared" si="31"/>
        <v>0</v>
      </c>
      <c r="K323" s="99">
        <f t="shared" si="32"/>
        <v>0</v>
      </c>
    </row>
    <row r="324" spans="1:11">
      <c r="A324" s="99"/>
      <c r="B324" s="18"/>
      <c r="C324" s="18"/>
      <c r="D324" s="18"/>
      <c r="E324" s="99"/>
      <c r="F324" s="99"/>
      <c r="G324" s="36">
        <f t="shared" si="28"/>
        <v>0</v>
      </c>
      <c r="H324" s="99">
        <f t="shared" si="29"/>
        <v>0</v>
      </c>
      <c r="I324" s="99">
        <f t="shared" si="30"/>
        <v>0</v>
      </c>
      <c r="J324" s="99">
        <f t="shared" si="31"/>
        <v>0</v>
      </c>
      <c r="K324" s="99">
        <f t="shared" si="32"/>
        <v>0</v>
      </c>
    </row>
    <row r="325" spans="1:11">
      <c r="A325" s="99"/>
      <c r="B325" s="18"/>
      <c r="C325" s="18"/>
      <c r="D325" s="18">
        <f t="shared" si="18"/>
        <v>0</v>
      </c>
      <c r="E325" s="11"/>
      <c r="F325" s="11">
        <v>0</v>
      </c>
      <c r="G325" s="36">
        <f t="shared" si="28"/>
        <v>0</v>
      </c>
      <c r="H325" s="99">
        <f t="shared" si="29"/>
        <v>0</v>
      </c>
      <c r="I325" s="99">
        <f t="shared" si="30"/>
        <v>0</v>
      </c>
      <c r="J325" s="99">
        <f t="shared" si="31"/>
        <v>0</v>
      </c>
      <c r="K325" s="99">
        <f t="shared" si="32"/>
        <v>0</v>
      </c>
    </row>
    <row r="326" spans="1:11">
      <c r="A326" s="99"/>
      <c r="B326" s="29">
        <f>SUM(B2:B325)</f>
        <v>1722807</v>
      </c>
      <c r="C326" s="29">
        <f>SUM(C2:C325)</f>
        <v>0</v>
      </c>
      <c r="D326" s="29">
        <f>SUM(D2:D325)</f>
        <v>1722807</v>
      </c>
      <c r="E326" s="11"/>
      <c r="F326" s="11"/>
      <c r="G326" s="11"/>
      <c r="H326" s="11"/>
      <c r="I326" s="29">
        <f>SUM(I2:I325)</f>
        <v>19192613152</v>
      </c>
      <c r="J326" s="29">
        <f>SUM(J2:J325)</f>
        <v>8687685429</v>
      </c>
      <c r="K326" s="29">
        <f>SUM(K2:K325)</f>
        <v>10504927723</v>
      </c>
    </row>
    <row r="327" spans="1:11">
      <c r="A327" s="99"/>
      <c r="B327" s="11" t="s">
        <v>283</v>
      </c>
      <c r="C327" s="11" t="s">
        <v>488</v>
      </c>
      <c r="D327" s="11" t="s">
        <v>489</v>
      </c>
      <c r="E327" s="11"/>
      <c r="F327" s="11"/>
      <c r="G327" s="11"/>
      <c r="H327" s="11"/>
      <c r="I327" s="11" t="s">
        <v>485</v>
      </c>
      <c r="J327" s="11" t="s">
        <v>486</v>
      </c>
      <c r="K327" s="11" t="s">
        <v>487</v>
      </c>
    </row>
    <row r="328" spans="1:11">
      <c r="A328" s="99"/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>
      <c r="A329" s="99"/>
      <c r="B329" s="11"/>
      <c r="C329" s="11"/>
      <c r="D329" s="11"/>
      <c r="E329" s="11"/>
      <c r="F329" s="11"/>
      <c r="G329" s="11"/>
      <c r="H329" s="11"/>
      <c r="I329" s="3">
        <f>I326/G2</f>
        <v>18209310.390891839</v>
      </c>
      <c r="J329" s="29">
        <f>J326/G2</f>
        <v>8242585.7960151806</v>
      </c>
      <c r="K329" s="29">
        <f>K326/G2</f>
        <v>9966724.59487666</v>
      </c>
    </row>
    <row r="330" spans="1:11">
      <c r="A330" s="99"/>
      <c r="B330" s="11"/>
      <c r="C330" s="11"/>
      <c r="D330" s="11"/>
      <c r="E330" s="11"/>
      <c r="F330" s="11"/>
      <c r="G330" s="11"/>
      <c r="H330" s="11"/>
      <c r="I330" s="11" t="s">
        <v>491</v>
      </c>
      <c r="J330" s="11" t="s">
        <v>492</v>
      </c>
      <c r="K330" s="11" t="s">
        <v>493</v>
      </c>
    </row>
    <row r="333" spans="1:11" ht="30">
      <c r="B333" s="22" t="s">
        <v>854</v>
      </c>
      <c r="D333" s="98">
        <f>D326-D151+D152</f>
        <v>2919446</v>
      </c>
      <c r="G333" t="s">
        <v>25</v>
      </c>
      <c r="J333">
        <f>J326/I326*1448696</f>
        <v>655763.49768395431</v>
      </c>
      <c r="K333">
        <f>K326/I326*1448696</f>
        <v>792932.50231604569</v>
      </c>
    </row>
    <row r="334" spans="1:11">
      <c r="B334" s="7"/>
    </row>
    <row r="335" spans="1:11">
      <c r="B335" s="7"/>
      <c r="I335" t="s">
        <v>25</v>
      </c>
    </row>
    <row r="336" spans="1:11">
      <c r="I33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4788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4799</v>
      </c>
      <c r="B75" s="113">
        <v>-20000</v>
      </c>
      <c r="C75" s="99" t="s">
        <v>4808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4348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4348</v>
      </c>
      <c r="B11" s="18">
        <v>-3000900</v>
      </c>
      <c r="C11" s="18">
        <v>0</v>
      </c>
      <c r="D11" s="113">
        <f t="shared" si="0"/>
        <v>-3000900</v>
      </c>
      <c r="E11" s="19" t="s">
        <v>4356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4349</v>
      </c>
      <c r="B12" s="18">
        <v>-3000900</v>
      </c>
      <c r="C12" s="18">
        <v>0</v>
      </c>
      <c r="D12" s="113">
        <f t="shared" si="0"/>
        <v>-3000900</v>
      </c>
      <c r="E12" s="20" t="s">
        <v>4356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4349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4368</v>
      </c>
      <c r="B14" s="18">
        <v>-138360</v>
      </c>
      <c r="C14" s="18">
        <v>0</v>
      </c>
      <c r="D14" s="113">
        <f t="shared" si="0"/>
        <v>-138360</v>
      </c>
      <c r="E14" s="20" t="s">
        <v>4369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4371</v>
      </c>
      <c r="B15" s="18">
        <v>-3000900</v>
      </c>
      <c r="C15" s="18">
        <v>0</v>
      </c>
      <c r="D15" s="117">
        <f t="shared" si="0"/>
        <v>-3000900</v>
      </c>
      <c r="E15" s="20" t="s">
        <v>4356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4377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4394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4405</v>
      </c>
      <c r="B18" s="18">
        <v>-4098523</v>
      </c>
      <c r="C18" s="18">
        <v>0</v>
      </c>
      <c r="D18" s="113">
        <f t="shared" si="0"/>
        <v>-4098523</v>
      </c>
      <c r="E18" s="20" t="s">
        <v>4404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4405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4405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4401</v>
      </c>
      <c r="B21" s="18">
        <v>-7500</v>
      </c>
      <c r="C21" s="18">
        <v>0</v>
      </c>
      <c r="D21" s="113">
        <f t="shared" si="0"/>
        <v>-7500</v>
      </c>
      <c r="E21" s="19" t="s">
        <v>4402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4438</v>
      </c>
      <c r="B22" s="18">
        <v>7964</v>
      </c>
      <c r="C22" s="18">
        <v>65497</v>
      </c>
      <c r="D22" s="113">
        <f t="shared" si="0"/>
        <v>-57533</v>
      </c>
      <c r="E22" s="19" t="s">
        <v>4439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4353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4352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4367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4378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4379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4380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4381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4383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4381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4386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4387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4388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4389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4390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4393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4395</v>
      </c>
    </row>
    <row r="82" spans="4:5">
      <c r="D82" s="114">
        <v>-142143</v>
      </c>
      <c r="E82" s="54" t="s">
        <v>4399</v>
      </c>
    </row>
    <row r="83" spans="4:5">
      <c r="D83" s="114">
        <v>-128352</v>
      </c>
      <c r="E83" s="54" t="s">
        <v>4398</v>
      </c>
    </row>
    <row r="84" spans="4:5">
      <c r="D84" s="114">
        <v>-6035000</v>
      </c>
      <c r="E84" s="54" t="s">
        <v>4408</v>
      </c>
    </row>
    <row r="85" spans="4:5">
      <c r="D85" s="114">
        <v>-55957</v>
      </c>
      <c r="E85" s="54" t="s">
        <v>4407</v>
      </c>
    </row>
    <row r="86" spans="4:5">
      <c r="D86" s="114">
        <v>7500</v>
      </c>
      <c r="E86" s="54" t="s">
        <v>4406</v>
      </c>
    </row>
    <row r="87" spans="4:5">
      <c r="D87" s="114">
        <v>1700000</v>
      </c>
      <c r="E87" s="54" t="s">
        <v>4409</v>
      </c>
    </row>
    <row r="88" spans="4:5">
      <c r="D88" s="114">
        <v>129648</v>
      </c>
      <c r="E88" s="54" t="s">
        <v>4410</v>
      </c>
    </row>
    <row r="89" spans="4:5">
      <c r="D89" s="114">
        <v>1000000</v>
      </c>
      <c r="E89" s="54" t="s">
        <v>4413</v>
      </c>
    </row>
    <row r="90" spans="4:5">
      <c r="D90" s="114">
        <v>-53003</v>
      </c>
      <c r="E90" s="54" t="s">
        <v>4414</v>
      </c>
    </row>
    <row r="91" spans="4:5">
      <c r="D91" s="114">
        <v>-23690</v>
      </c>
      <c r="E91" s="54" t="s">
        <v>4414</v>
      </c>
    </row>
    <row r="92" spans="4:5">
      <c r="D92" s="114">
        <v>-216910</v>
      </c>
      <c r="E92" s="54" t="s">
        <v>4416</v>
      </c>
    </row>
    <row r="93" spans="4:5">
      <c r="D93" s="114">
        <v>-30304</v>
      </c>
      <c r="E93" s="54" t="s">
        <v>4420</v>
      </c>
    </row>
    <row r="94" spans="4:5">
      <c r="D94" s="114">
        <v>-10067</v>
      </c>
      <c r="E94" s="54" t="s">
        <v>4421</v>
      </c>
    </row>
    <row r="95" spans="4:5">
      <c r="D95" s="114">
        <v>-16248</v>
      </c>
      <c r="E95" s="54" t="s">
        <v>4423</v>
      </c>
    </row>
    <row r="96" spans="4:5">
      <c r="D96" s="114">
        <v>-87695</v>
      </c>
      <c r="E96" s="54" t="s">
        <v>4424</v>
      </c>
    </row>
    <row r="97" spans="4:7">
      <c r="D97" s="114">
        <v>-29231</v>
      </c>
      <c r="E97" s="54" t="s">
        <v>4425</v>
      </c>
    </row>
    <row r="98" spans="4:7">
      <c r="D98" s="114">
        <v>1000000</v>
      </c>
      <c r="E98" s="54" t="s">
        <v>4426</v>
      </c>
    </row>
    <row r="99" spans="4:7">
      <c r="D99" s="114">
        <v>-35250</v>
      </c>
      <c r="E99" s="54" t="s">
        <v>4427</v>
      </c>
    </row>
    <row r="100" spans="4:7">
      <c r="D100" s="114">
        <v>-57477</v>
      </c>
      <c r="E100" s="54" t="s">
        <v>4428</v>
      </c>
    </row>
    <row r="101" spans="4:7">
      <c r="D101" s="114">
        <v>-13565</v>
      </c>
      <c r="E101" s="54" t="s">
        <v>4429</v>
      </c>
    </row>
    <row r="102" spans="4:7">
      <c r="D102" s="114">
        <v>-9429</v>
      </c>
      <c r="E102" s="54" t="s">
        <v>4430</v>
      </c>
    </row>
    <row r="103" spans="4:7">
      <c r="D103" s="114">
        <v>-600000</v>
      </c>
      <c r="E103" s="54" t="s">
        <v>4431</v>
      </c>
    </row>
    <row r="104" spans="4:7">
      <c r="D104" s="114">
        <v>335</v>
      </c>
      <c r="E104" s="54" t="s">
        <v>4433</v>
      </c>
    </row>
    <row r="105" spans="4:7">
      <c r="D105" s="114">
        <v>31026</v>
      </c>
      <c r="E105" s="54" t="s">
        <v>4434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4432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4440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4442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4447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4449</v>
      </c>
      <c r="B6" s="18">
        <v>3000000</v>
      </c>
      <c r="C6" s="18">
        <v>0</v>
      </c>
      <c r="D6" s="113">
        <f t="shared" si="0"/>
        <v>3000000</v>
      </c>
      <c r="E6" s="19" t="s">
        <v>4450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4446</v>
      </c>
      <c r="B7" s="18">
        <v>-2000700</v>
      </c>
      <c r="C7" s="18">
        <v>0</v>
      </c>
      <c r="D7" s="113">
        <f t="shared" si="0"/>
        <v>-2000700</v>
      </c>
      <c r="E7" s="19" t="s">
        <v>4480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4446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4446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4446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4487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4487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4493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4501</v>
      </c>
      <c r="B16" s="18">
        <v>12000000</v>
      </c>
      <c r="C16" s="18">
        <v>0</v>
      </c>
      <c r="D16" s="113">
        <f t="shared" si="0"/>
        <v>12000000</v>
      </c>
      <c r="E16" s="20" t="s">
        <v>4502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4503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4505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4507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4507</v>
      </c>
      <c r="B20" s="18">
        <v>0</v>
      </c>
      <c r="C20" s="18">
        <v>-8034286</v>
      </c>
      <c r="D20" s="113">
        <f t="shared" si="0"/>
        <v>8034286</v>
      </c>
      <c r="E20" s="19" t="s">
        <v>4509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4507</v>
      </c>
      <c r="B21" s="18">
        <v>-10000</v>
      </c>
      <c r="C21" s="18">
        <v>0</v>
      </c>
      <c r="D21" s="113">
        <f t="shared" si="0"/>
        <v>-10000</v>
      </c>
      <c r="E21" s="19" t="s">
        <v>4510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4511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4518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4519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4519</v>
      </c>
      <c r="B25" s="18">
        <v>-100500</v>
      </c>
      <c r="C25" s="18">
        <v>0</v>
      </c>
      <c r="D25" s="113">
        <f t="shared" si="0"/>
        <v>-100500</v>
      </c>
      <c r="E25" s="19" t="s">
        <v>4521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4519</v>
      </c>
      <c r="B26" s="18">
        <v>-68670</v>
      </c>
      <c r="C26" s="18">
        <v>0</v>
      </c>
      <c r="D26" s="113">
        <f t="shared" si="0"/>
        <v>-68670</v>
      </c>
      <c r="E26" s="19" t="s">
        <v>4525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4522</v>
      </c>
      <c r="B27" s="18">
        <v>-118600</v>
      </c>
      <c r="C27" s="18">
        <v>0</v>
      </c>
      <c r="D27" s="113">
        <f t="shared" si="0"/>
        <v>-118600</v>
      </c>
      <c r="E27" s="19" t="s">
        <v>4527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4532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4532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4532</v>
      </c>
      <c r="B30" s="18">
        <v>-389000</v>
      </c>
      <c r="C30" s="18">
        <v>0</v>
      </c>
      <c r="D30" s="113">
        <f t="shared" si="0"/>
        <v>-389000</v>
      </c>
      <c r="E30" s="19" t="s">
        <v>4534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4477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4497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4498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4504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4514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4526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4533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4438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4559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4559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4563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4563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4566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4566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4571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4574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4574</v>
      </c>
      <c r="B11" s="18">
        <v>-1287000</v>
      </c>
      <c r="C11" s="18">
        <v>0</v>
      </c>
      <c r="D11" s="113">
        <f t="shared" si="0"/>
        <v>-1287000</v>
      </c>
      <c r="E11" s="19" t="s">
        <v>4575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4571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4572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4590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4592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4602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4606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4511</v>
      </c>
      <c r="B22" s="18">
        <v>-3995000</v>
      </c>
      <c r="C22" s="18">
        <v>0</v>
      </c>
      <c r="D22" s="113">
        <f t="shared" si="0"/>
        <v>-3995000</v>
      </c>
      <c r="E22" s="19" t="s">
        <v>4608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4518</v>
      </c>
      <c r="B23" s="18">
        <v>-2010700</v>
      </c>
      <c r="C23" s="18">
        <v>0</v>
      </c>
      <c r="D23" s="113">
        <f t="shared" si="0"/>
        <v>-2010700</v>
      </c>
      <c r="E23" s="19" t="s">
        <v>4619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4616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4622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4632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4637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4637</v>
      </c>
      <c r="B29" s="18">
        <v>-77315</v>
      </c>
      <c r="C29" s="18">
        <v>0</v>
      </c>
      <c r="D29" s="113">
        <f t="shared" si="0"/>
        <v>-77315</v>
      </c>
      <c r="E29" s="19" t="s">
        <v>4641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4643</v>
      </c>
      <c r="B30" s="18">
        <v>-66850</v>
      </c>
      <c r="C30" s="18">
        <v>0</v>
      </c>
      <c r="D30" s="113">
        <f t="shared" si="0"/>
        <v>-66850</v>
      </c>
      <c r="E30" s="19" t="s">
        <v>4648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4643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4647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4620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4633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4642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4643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4653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4653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4669</v>
      </c>
      <c r="B5" s="18">
        <v>-200000</v>
      </c>
      <c r="C5" s="18">
        <v>0</v>
      </c>
      <c r="D5" s="113">
        <f t="shared" si="0"/>
        <v>-200000</v>
      </c>
      <c r="E5" s="20" t="s">
        <v>4666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4680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4686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4686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4686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4686</v>
      </c>
      <c r="B10" s="18">
        <v>-51400</v>
      </c>
      <c r="C10" s="18">
        <v>0</v>
      </c>
      <c r="D10" s="113">
        <f t="shared" si="0"/>
        <v>-51400</v>
      </c>
      <c r="E10" s="19" t="s">
        <v>4693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4696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4696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4728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4728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4728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4733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4749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4756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4756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4768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4758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4760</v>
      </c>
      <c r="B22" s="18">
        <v>-324747</v>
      </c>
      <c r="C22" s="18">
        <v>0</v>
      </c>
      <c r="D22" s="113">
        <f t="shared" si="0"/>
        <v>-324747</v>
      </c>
      <c r="E22" s="19" t="s">
        <v>4769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4778</v>
      </c>
      <c r="B23" s="18">
        <v>-297992</v>
      </c>
      <c r="C23" s="18">
        <v>0</v>
      </c>
      <c r="D23" s="113">
        <f t="shared" si="0"/>
        <v>-297992</v>
      </c>
      <c r="E23" s="19" t="s">
        <v>4779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4788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4632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4637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4637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4643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4643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4662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4663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4690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4691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4692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4693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4707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4731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4734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4757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4765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4766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4767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4770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4773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4780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4805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4806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4222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4231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4224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4233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4228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4236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4350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4351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4280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4281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3648374.7909967843</v>
      </c>
      <c r="C8" s="99">
        <f>B2*B4*B5/(B1*B3)+B7/B6</f>
        <v>304.03123258306533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4200000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551625.20900321566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38" t="s">
        <v>1089</v>
      </c>
      <c r="R21" s="238"/>
      <c r="S21" s="238"/>
      <c r="T21" s="238"/>
      <c r="U21" s="96"/>
      <c r="V21" s="96"/>
      <c r="W21" s="96"/>
      <c r="X21" s="96"/>
      <c r="Y21" s="96"/>
      <c r="Z21" s="96"/>
    </row>
    <row r="22" spans="5:35">
      <c r="O22" s="99"/>
      <c r="P22" s="99"/>
      <c r="Q22" s="238"/>
      <c r="R22" s="238"/>
      <c r="S22" s="238"/>
      <c r="T22" s="238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39" t="s">
        <v>1090</v>
      </c>
      <c r="R23" s="240" t="s">
        <v>1091</v>
      </c>
      <c r="S23" s="239" t="s">
        <v>1092</v>
      </c>
      <c r="T23" s="241" t="s">
        <v>1093</v>
      </c>
      <c r="AD23" t="s">
        <v>25</v>
      </c>
    </row>
    <row r="24" spans="5:35">
      <c r="O24" s="99"/>
      <c r="P24" s="99"/>
      <c r="Q24" s="239"/>
      <c r="R24" s="240"/>
      <c r="S24" s="239"/>
      <c r="T24" s="241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4584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4599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4600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4601</v>
      </c>
      <c r="J263" t="s">
        <v>25</v>
      </c>
      <c r="K263" t="s">
        <v>25</v>
      </c>
    </row>
    <row r="264" spans="1:11">
      <c r="A264" s="99" t="s">
        <v>4595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4630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4629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4616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4632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4637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4637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4653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4550</v>
      </c>
      <c r="B1" t="s">
        <v>4553</v>
      </c>
      <c r="C1" t="s">
        <v>4554</v>
      </c>
    </row>
    <row r="2" spans="1:3">
      <c r="A2" t="s">
        <v>4551</v>
      </c>
      <c r="B2" t="s">
        <v>4555</v>
      </c>
      <c r="C2" t="s">
        <v>4556</v>
      </c>
    </row>
    <row r="3" spans="1:3">
      <c r="A3" t="s">
        <v>4552</v>
      </c>
      <c r="B3" t="s">
        <v>4554</v>
      </c>
      <c r="C3" t="s">
        <v>4557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12" sqref="D12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4784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4774</v>
      </c>
      <c r="B2" s="95">
        <v>10300</v>
      </c>
      <c r="C2" s="95">
        <v>0</v>
      </c>
      <c r="D2" s="99" t="s">
        <v>4785</v>
      </c>
      <c r="E2" s="96"/>
      <c r="F2" s="96"/>
      <c r="G2" s="96"/>
    </row>
    <row r="3" spans="1:7">
      <c r="A3" s="99" t="s">
        <v>4774</v>
      </c>
      <c r="B3" s="95">
        <v>0</v>
      </c>
      <c r="C3" s="95">
        <v>5500</v>
      </c>
      <c r="D3" s="99" t="s">
        <v>4786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4799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4817</v>
      </c>
      <c r="B6" s="95">
        <v>0</v>
      </c>
      <c r="C6" s="95">
        <v>3000</v>
      </c>
      <c r="D6" s="99" t="s">
        <v>4821</v>
      </c>
      <c r="E6" s="96"/>
      <c r="F6" s="96"/>
      <c r="G6" s="96"/>
    </row>
    <row r="7" spans="1:7">
      <c r="A7" s="99" t="s">
        <v>4817</v>
      </c>
      <c r="B7" s="95">
        <v>9200</v>
      </c>
      <c r="C7" s="95">
        <v>0</v>
      </c>
      <c r="D7" s="99" t="s">
        <v>4785</v>
      </c>
      <c r="E7" s="96"/>
      <c r="F7" s="96"/>
      <c r="G7" s="96"/>
    </row>
    <row r="8" spans="1:7">
      <c r="A8" s="99" t="s">
        <v>4819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4829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4829</v>
      </c>
      <c r="B10" s="95">
        <v>10200</v>
      </c>
      <c r="C10" s="95">
        <v>0</v>
      </c>
      <c r="D10" s="99" t="s">
        <v>4785</v>
      </c>
      <c r="E10" s="96"/>
      <c r="F10" s="96"/>
      <c r="G10" s="96"/>
    </row>
    <row r="11" spans="1:7">
      <c r="A11" s="99" t="s">
        <v>4851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/>
      <c r="B12" s="95"/>
      <c r="C12" s="95"/>
      <c r="D12" s="99"/>
      <c r="E12" s="96"/>
      <c r="F12" s="96"/>
      <c r="G12" s="96"/>
    </row>
    <row r="13" spans="1:7">
      <c r="A13" s="99"/>
      <c r="B13" s="95"/>
      <c r="C13" s="95"/>
      <c r="D13" s="99"/>
      <c r="E13" s="96"/>
      <c r="F13" s="96"/>
      <c r="G13" s="96"/>
    </row>
    <row r="14" spans="1:7">
      <c r="A14" s="99"/>
      <c r="B14" s="95"/>
      <c r="C14" s="95"/>
      <c r="D14" s="99"/>
      <c r="E14" s="96"/>
      <c r="F14" s="96"/>
      <c r="G14" s="96"/>
    </row>
    <row r="15" spans="1:7">
      <c r="A15" s="99"/>
      <c r="B15" s="95"/>
      <c r="C15" s="95"/>
      <c r="D15" s="99"/>
      <c r="E15" s="96"/>
      <c r="F15" s="96"/>
      <c r="G15" s="96"/>
    </row>
    <row r="16" spans="1:7">
      <c r="A16" s="99"/>
      <c r="B16" s="95"/>
      <c r="C16" s="95"/>
      <c r="D16" s="99"/>
      <c r="E16" s="96"/>
      <c r="F16" s="96"/>
      <c r="G16" s="96"/>
    </row>
    <row r="17" spans="1:7">
      <c r="A17" s="99"/>
      <c r="B17" s="95"/>
      <c r="C17" s="95"/>
      <c r="D17" s="99"/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29700</v>
      </c>
      <c r="C24" s="95">
        <f>SUM(C2:C23)</f>
        <v>13500</v>
      </c>
      <c r="D24" s="99"/>
      <c r="E24" s="96"/>
      <c r="F24" s="96"/>
      <c r="G24" s="96"/>
    </row>
    <row r="26" spans="1:7">
      <c r="A26" s="23" t="s">
        <v>4819</v>
      </c>
      <c r="B26" s="230">
        <v>6700</v>
      </c>
      <c r="C26" s="230">
        <v>0</v>
      </c>
      <c r="D26" s="23" t="s">
        <v>4822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4818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4358</v>
      </c>
      <c r="L21" s="33" t="s">
        <v>4360</v>
      </c>
      <c r="M21" s="96" t="s">
        <v>4359</v>
      </c>
      <c r="N21" s="189" t="s">
        <v>4361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4584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2"/>
  <sheetViews>
    <sheetView topLeftCell="A32" zoomScaleNormal="100" workbookViewId="0">
      <selection activeCell="L45" sqref="L4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4150</v>
      </c>
      <c r="AT6" s="99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4157</v>
      </c>
      <c r="AT7" s="99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4172</v>
      </c>
      <c r="AT8" s="99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4342</v>
      </c>
      <c r="AT9" s="99" t="s">
        <v>4343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4365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4344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سارا!D326</f>
        <v>1722807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4364</v>
      </c>
      <c r="V19" s="73" t="s">
        <v>4366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4460</v>
      </c>
      <c r="N20" s="113">
        <v>357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3">
        <f>S70</f>
        <v>156</v>
      </c>
      <c r="T20" s="168" t="s">
        <v>4309</v>
      </c>
      <c r="U20" s="168">
        <v>192.1</v>
      </c>
      <c r="V20" s="168">
        <f t="shared" ref="V20:V46" si="6">U20*(1+$N$86+$Q$15*S20/36500)</f>
        <v>217.24036383561648</v>
      </c>
      <c r="W20" s="32">
        <f t="shared" ref="W20:W33" si="7">V20*(1+$W$19/100)</f>
        <v>221.58517111232882</v>
      </c>
      <c r="X20" s="32">
        <f t="shared" ref="X20:X33" si="8">V20*(1+$X$19/100)</f>
        <v>225.92997838904114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327</v>
      </c>
      <c r="AM20" s="113">
        <f>AJ20*AL20</f>
        <v>5886000000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4473</v>
      </c>
      <c r="L21" s="117">
        <f>-N34</f>
        <v>379266640.76102358</v>
      </c>
      <c r="M21" s="168" t="s">
        <v>4301</v>
      </c>
      <c r="N21" s="113">
        <f t="shared" ref="N21:N25" si="9">O21*P21</f>
        <v>15298822.4</v>
      </c>
      <c r="O21" s="99">
        <v>82429</v>
      </c>
      <c r="P21" s="187">
        <f>P54</f>
        <v>185.6</v>
      </c>
      <c r="Q21" s="169">
        <v>595156</v>
      </c>
      <c r="R21" s="168" t="s">
        <v>4394</v>
      </c>
      <c r="S21" s="194">
        <f>S20-52</f>
        <v>104</v>
      </c>
      <c r="T21" s="168" t="s">
        <v>4397</v>
      </c>
      <c r="U21" s="168">
        <v>5808.5</v>
      </c>
      <c r="V21" s="168">
        <f t="shared" si="6"/>
        <v>6336.9621041095897</v>
      </c>
      <c r="W21" s="32">
        <f t="shared" si="7"/>
        <v>6463.7013461917813</v>
      </c>
      <c r="X21" s="32">
        <f t="shared" si="8"/>
        <v>6590.4405882739738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326</v>
      </c>
      <c r="AM21" s="113">
        <f t="shared" ref="AM21:AM120" si="11">AJ21*AL21</f>
        <v>815000000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4476</v>
      </c>
      <c r="L22" s="117">
        <f>-اسفند97!D63</f>
        <v>-768</v>
      </c>
      <c r="M22" s="168" t="s">
        <v>4392</v>
      </c>
      <c r="N22" s="113">
        <f t="shared" si="9"/>
        <v>63971359</v>
      </c>
      <c r="O22" s="99">
        <v>19265</v>
      </c>
      <c r="P22" s="187">
        <f>P44</f>
        <v>3320.6</v>
      </c>
      <c r="Q22" s="169">
        <v>1484689</v>
      </c>
      <c r="R22" s="168" t="s">
        <v>4432</v>
      </c>
      <c r="S22" s="168">
        <f>S21-7</f>
        <v>97</v>
      </c>
      <c r="T22" s="19" t="s">
        <v>4435</v>
      </c>
      <c r="U22" s="168">
        <v>5474</v>
      </c>
      <c r="V22" s="168">
        <f t="shared" si="6"/>
        <v>5942.6343890410963</v>
      </c>
      <c r="W22" s="32">
        <f t="shared" si="7"/>
        <v>6061.487076821918</v>
      </c>
      <c r="X22" s="32">
        <f t="shared" si="8"/>
        <v>6180.3397646027406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325</v>
      </c>
      <c r="AM22" s="113">
        <f t="shared" si="11"/>
        <v>2600000000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9"/>
      <c r="L23" s="117"/>
      <c r="M23" s="219" t="s">
        <v>4411</v>
      </c>
      <c r="N23" s="113">
        <f t="shared" si="9"/>
        <v>76744691.099999994</v>
      </c>
      <c r="O23" s="99">
        <v>144447</v>
      </c>
      <c r="P23" s="187">
        <f>P48</f>
        <v>531.29999999999995</v>
      </c>
      <c r="Q23" s="169">
        <v>2197673</v>
      </c>
      <c r="R23" s="168" t="s">
        <v>4432</v>
      </c>
      <c r="S23" s="168">
        <f>S22</f>
        <v>97</v>
      </c>
      <c r="T23" s="19" t="s">
        <v>4436</v>
      </c>
      <c r="U23" s="168">
        <v>5349</v>
      </c>
      <c r="V23" s="168">
        <f t="shared" si="6"/>
        <v>5806.9330191780828</v>
      </c>
      <c r="W23" s="32">
        <f>V23*(1+$W$19/100)</f>
        <v>5923.0716795616445</v>
      </c>
      <c r="X23" s="32">
        <f t="shared" si="8"/>
        <v>6039.2103399452062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324</v>
      </c>
      <c r="AM23" s="113">
        <f t="shared" si="11"/>
        <v>-25774848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L66</f>
        <v>384117382.76102358</v>
      </c>
      <c r="G24" s="95">
        <f t="shared" si="0"/>
        <v>-103811037.37908494</v>
      </c>
      <c r="H24" s="11"/>
      <c r="I24" s="96"/>
      <c r="J24" s="96"/>
      <c r="K24" s="219"/>
      <c r="L24" s="117"/>
      <c r="M24" s="219" t="s">
        <v>4545</v>
      </c>
      <c r="N24" s="113">
        <f t="shared" si="9"/>
        <v>81669775.400000006</v>
      </c>
      <c r="O24" s="99">
        <v>19918</v>
      </c>
      <c r="P24" s="187">
        <f>P49</f>
        <v>4100.3</v>
      </c>
      <c r="Q24" s="169">
        <v>1353959</v>
      </c>
      <c r="R24" s="168" t="s">
        <v>4432</v>
      </c>
      <c r="S24" s="200">
        <f>S23</f>
        <v>97</v>
      </c>
      <c r="T24" s="19" t="s">
        <v>4478</v>
      </c>
      <c r="U24" s="168">
        <v>192.2</v>
      </c>
      <c r="V24" s="168">
        <f t="shared" si="6"/>
        <v>208.65442630136985</v>
      </c>
      <c r="W24" s="32">
        <f t="shared" si="7"/>
        <v>212.82751482739727</v>
      </c>
      <c r="X24" s="32">
        <f t="shared" si="8"/>
        <v>217.00060335342465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323</v>
      </c>
      <c r="AM24" s="113">
        <f t="shared" si="11"/>
        <v>53456500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4396</v>
      </c>
      <c r="N25" s="113">
        <f t="shared" si="9"/>
        <v>9639592.4000000004</v>
      </c>
      <c r="O25" s="99">
        <v>1828</v>
      </c>
      <c r="P25" s="99">
        <f>P47</f>
        <v>5273.3</v>
      </c>
      <c r="Q25" s="169">
        <v>1614398</v>
      </c>
      <c r="R25" s="168" t="s">
        <v>4440</v>
      </c>
      <c r="S25" s="168">
        <f>S24-3</f>
        <v>94</v>
      </c>
      <c r="T25" s="19" t="s">
        <v>4515</v>
      </c>
      <c r="U25" s="168">
        <v>184.6</v>
      </c>
      <c r="V25" s="168">
        <f t="shared" si="6"/>
        <v>199.9789501369863</v>
      </c>
      <c r="W25" s="32">
        <f t="shared" si="7"/>
        <v>203.97852913972602</v>
      </c>
      <c r="X25" s="32">
        <f t="shared" si="8"/>
        <v>207.97810814246577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311</v>
      </c>
      <c r="AM25" s="113">
        <f t="shared" si="11"/>
        <v>-8966231697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4522</v>
      </c>
      <c r="S26" s="199">
        <f>S25-22</f>
        <v>72</v>
      </c>
      <c r="T26" s="168" t="s">
        <v>4523</v>
      </c>
      <c r="U26" s="168">
        <v>166.2</v>
      </c>
      <c r="V26" s="168">
        <f t="shared" si="6"/>
        <v>177.24114410958904</v>
      </c>
      <c r="W26" s="32">
        <f t="shared" si="7"/>
        <v>180.78596699178084</v>
      </c>
      <c r="X26" s="32">
        <f t="shared" si="8"/>
        <v>184.33078987397261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305</v>
      </c>
      <c r="AM26" s="113">
        <f t="shared" si="11"/>
        <v>5642500000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1" t="s">
        <v>4462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9">
        <f>S26-1</f>
        <v>71</v>
      </c>
      <c r="T27" s="168" t="s">
        <v>4529</v>
      </c>
      <c r="U27" s="168">
        <v>166</v>
      </c>
      <c r="V27" s="168">
        <f t="shared" si="6"/>
        <v>176.90051506849318</v>
      </c>
      <c r="W27" s="32">
        <f t="shared" si="7"/>
        <v>180.43852536986304</v>
      </c>
      <c r="X27" s="32">
        <f t="shared" si="8"/>
        <v>183.97653567123291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304</v>
      </c>
      <c r="AM27" s="113">
        <f t="shared" si="11"/>
        <v>-5639200000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1" t="s">
        <v>4396</v>
      </c>
      <c r="N28" s="113">
        <f>O28*P28</f>
        <v>247845.1</v>
      </c>
      <c r="O28" s="69">
        <v>47</v>
      </c>
      <c r="P28" s="99">
        <f>P47</f>
        <v>5273.3</v>
      </c>
      <c r="Q28" s="169">
        <v>1023940</v>
      </c>
      <c r="R28" s="168" t="s">
        <v>4530</v>
      </c>
      <c r="S28" s="199">
        <f>S27-2</f>
        <v>69</v>
      </c>
      <c r="T28" s="168" t="s">
        <v>4536</v>
      </c>
      <c r="U28" s="168">
        <v>160.19999999999999</v>
      </c>
      <c r="V28" s="168">
        <f t="shared" si="6"/>
        <v>170.47386739726028</v>
      </c>
      <c r="W28" s="32">
        <f t="shared" si="7"/>
        <v>173.88334474520548</v>
      </c>
      <c r="X28" s="32">
        <f t="shared" si="8"/>
        <v>177.2928220931507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303</v>
      </c>
      <c r="AM28" s="113">
        <f t="shared" si="11"/>
        <v>-19683183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9"/>
      <c r="L29" s="117"/>
      <c r="M29" s="191" t="s">
        <v>4392</v>
      </c>
      <c r="N29" s="113">
        <f>O29*P29</f>
        <v>355304.2</v>
      </c>
      <c r="O29" s="69">
        <v>107</v>
      </c>
      <c r="P29" s="99">
        <f>P44</f>
        <v>3320.6</v>
      </c>
      <c r="Q29" s="169">
        <v>168846</v>
      </c>
      <c r="R29" s="168" t="s">
        <v>3691</v>
      </c>
      <c r="S29" s="199">
        <f>S28-28</f>
        <v>41</v>
      </c>
      <c r="T29" s="168" t="s">
        <v>4635</v>
      </c>
      <c r="U29" s="168">
        <v>172.2</v>
      </c>
      <c r="V29" s="168">
        <f t="shared" si="6"/>
        <v>179.54468383561644</v>
      </c>
      <c r="W29" s="32">
        <f t="shared" si="7"/>
        <v>183.13557751232878</v>
      </c>
      <c r="X29" s="32">
        <f t="shared" si="8"/>
        <v>186.72647118904109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298</v>
      </c>
      <c r="AM29" s="113">
        <f t="shared" si="11"/>
        <v>1907200000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9"/>
      <c r="L30" s="117"/>
      <c r="M30" s="191" t="s">
        <v>4411</v>
      </c>
      <c r="N30" s="113">
        <f>O30*P30</f>
        <v>370847.39999999997</v>
      </c>
      <c r="O30" s="69">
        <v>698</v>
      </c>
      <c r="P30" s="99">
        <f>P48</f>
        <v>531.29999999999995</v>
      </c>
      <c r="Q30" s="169">
        <v>250962</v>
      </c>
      <c r="R30" s="168" t="s">
        <v>4680</v>
      </c>
      <c r="S30" s="199">
        <f>S29-10</f>
        <v>31</v>
      </c>
      <c r="T30" s="168" t="s">
        <v>4681</v>
      </c>
      <c r="U30" s="168">
        <v>5315.5</v>
      </c>
      <c r="V30" s="168">
        <f t="shared" si="6"/>
        <v>5501.4405589041098</v>
      </c>
      <c r="W30" s="32">
        <f t="shared" si="7"/>
        <v>5611.4693700821917</v>
      </c>
      <c r="X30" s="32">
        <f t="shared" si="8"/>
        <v>5721.4981812602746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297</v>
      </c>
      <c r="AM30" s="113">
        <f t="shared" si="11"/>
        <v>-50490000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1" t="s">
        <v>4441</v>
      </c>
      <c r="N31" s="113">
        <f>O31*P31</f>
        <v>3217376</v>
      </c>
      <c r="O31" s="69">
        <v>17335</v>
      </c>
      <c r="P31" s="99">
        <f>P54</f>
        <v>185.6</v>
      </c>
      <c r="Q31" s="169">
        <v>350718</v>
      </c>
      <c r="R31" s="219" t="s">
        <v>4735</v>
      </c>
      <c r="S31" s="199">
        <f>S30-7</f>
        <v>24</v>
      </c>
      <c r="T31" s="219" t="s">
        <v>4736</v>
      </c>
      <c r="U31" s="219">
        <v>502.3</v>
      </c>
      <c r="V31" s="219">
        <f t="shared" si="6"/>
        <v>517.17358465753421</v>
      </c>
      <c r="W31" s="32">
        <f t="shared" si="7"/>
        <v>527.51705635068492</v>
      </c>
      <c r="X31" s="32">
        <f t="shared" si="8"/>
        <v>537.86052804383564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292</v>
      </c>
      <c r="AM31" s="113">
        <f t="shared" si="11"/>
        <v>-1839600000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9" t="s">
        <v>3684</v>
      </c>
      <c r="S32" s="199">
        <f>S31-15</f>
        <v>9</v>
      </c>
      <c r="T32" s="219" t="s">
        <v>4787</v>
      </c>
      <c r="U32" s="219">
        <v>486.4</v>
      </c>
      <c r="V32" s="219">
        <f t="shared" si="6"/>
        <v>495.20583890410967</v>
      </c>
      <c r="W32" s="32">
        <f t="shared" si="7"/>
        <v>505.10995568219187</v>
      </c>
      <c r="X32" s="32">
        <f t="shared" si="8"/>
        <v>515.01407246027406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291</v>
      </c>
      <c r="AM32" s="113">
        <f t="shared" si="11"/>
        <v>-15136365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9" t="s">
        <v>4788</v>
      </c>
      <c r="S33" s="199">
        <f>S32-1</f>
        <v>8</v>
      </c>
      <c r="T33" s="219" t="s">
        <v>4789</v>
      </c>
      <c r="U33" s="219">
        <v>476.1</v>
      </c>
      <c r="V33" s="219">
        <f t="shared" si="6"/>
        <v>484.35413917808222</v>
      </c>
      <c r="W33" s="32">
        <f t="shared" si="7"/>
        <v>494.04122196164388</v>
      </c>
      <c r="X33" s="32">
        <f t="shared" si="8"/>
        <v>503.72830474520555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275</v>
      </c>
      <c r="AM33" s="113">
        <f t="shared" si="11"/>
        <v>5504785000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-S148</f>
        <v>-379266640.76102358</v>
      </c>
      <c r="O34" s="96" t="s">
        <v>25</v>
      </c>
      <c r="P34" s="96" t="s">
        <v>25</v>
      </c>
      <c r="Q34" s="169">
        <v>10881161</v>
      </c>
      <c r="R34" s="219" t="s">
        <v>4788</v>
      </c>
      <c r="S34" s="199">
        <f>S33</f>
        <v>8</v>
      </c>
      <c r="T34" s="219" t="s">
        <v>4790</v>
      </c>
      <c r="U34" s="219">
        <v>3095</v>
      </c>
      <c r="V34" s="219">
        <f t="shared" si="6"/>
        <v>3148.6579726027398</v>
      </c>
      <c r="W34" s="32">
        <f t="shared" ref="W34:W46" si="13">V34*(1+$W$19/100)</f>
        <v>3211.6311320547948</v>
      </c>
      <c r="X34" s="32">
        <f t="shared" ref="X34:X46" si="14">V34*(1+$X$19/100)</f>
        <v>3274.6042915068497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275</v>
      </c>
      <c r="AM34" s="113">
        <f t="shared" si="11"/>
        <v>278978150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9" t="s">
        <v>4788</v>
      </c>
      <c r="S35" s="199">
        <f>S34</f>
        <v>8</v>
      </c>
      <c r="T35" s="219" t="s">
        <v>4791</v>
      </c>
      <c r="U35" s="219">
        <v>168.8</v>
      </c>
      <c r="V35" s="219">
        <f t="shared" si="6"/>
        <v>171.72648328767124</v>
      </c>
      <c r="W35" s="32">
        <f t="shared" si="13"/>
        <v>175.16101295342466</v>
      </c>
      <c r="X35" s="32">
        <f t="shared" si="14"/>
        <v>178.5955426191781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263</v>
      </c>
      <c r="AM35" s="113">
        <f t="shared" si="11"/>
        <v>94680000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فیزیکی'!M48*10*P55</f>
        <v>42930000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9" t="s">
        <v>4788</v>
      </c>
      <c r="S36" s="199">
        <f>S35</f>
        <v>8</v>
      </c>
      <c r="T36" s="219" t="s">
        <v>4792</v>
      </c>
      <c r="U36" s="219">
        <v>3859.8</v>
      </c>
      <c r="V36" s="219">
        <f t="shared" si="6"/>
        <v>3926.7172997260277</v>
      </c>
      <c r="W36" s="32">
        <f t="shared" si="13"/>
        <v>4005.2516457205484</v>
      </c>
      <c r="X36" s="32">
        <f t="shared" si="14"/>
        <v>4083.785991715069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261</v>
      </c>
      <c r="AM36" s="113">
        <f t="shared" si="11"/>
        <v>-91350000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4857</v>
      </c>
      <c r="L37" s="117">
        <v>-48500000</v>
      </c>
      <c r="M37" s="73"/>
      <c r="N37" s="113"/>
      <c r="O37" s="96" t="s">
        <v>25</v>
      </c>
      <c r="P37" s="96"/>
      <c r="Q37" s="169">
        <v>10206388</v>
      </c>
      <c r="R37" s="219" t="s">
        <v>4799</v>
      </c>
      <c r="S37" s="199">
        <f>S36-1</f>
        <v>7</v>
      </c>
      <c r="T37" s="219" t="s">
        <v>4803</v>
      </c>
      <c r="U37" s="219">
        <v>3099.2</v>
      </c>
      <c r="V37" s="219">
        <f t="shared" si="6"/>
        <v>3150.5533194520549</v>
      </c>
      <c r="W37" s="32">
        <f t="shared" si="13"/>
        <v>3213.5643858410958</v>
      </c>
      <c r="X37" s="32">
        <f t="shared" si="14"/>
        <v>3276.5754522301372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261</v>
      </c>
      <c r="AM37" s="113">
        <f t="shared" si="11"/>
        <v>261000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/>
      <c r="L38" s="117"/>
      <c r="M38" s="168" t="s">
        <v>1086</v>
      </c>
      <c r="N38" s="113">
        <f>('خرید و فروش سکه فیزیکی'!M47+3)*10*P55</f>
        <v>33390000</v>
      </c>
      <c r="O38" s="96"/>
      <c r="P38" s="96" t="s">
        <v>25</v>
      </c>
      <c r="Q38" s="169">
        <v>13402013</v>
      </c>
      <c r="R38" s="219" t="s">
        <v>4799</v>
      </c>
      <c r="S38" s="199">
        <f>S37</f>
        <v>7</v>
      </c>
      <c r="T38" s="219" t="s">
        <v>4804</v>
      </c>
      <c r="U38" s="219">
        <v>3853.3</v>
      </c>
      <c r="V38" s="219">
        <f t="shared" si="6"/>
        <v>3917.1486531506857</v>
      </c>
      <c r="W38" s="32">
        <f t="shared" si="13"/>
        <v>3995.4916262136994</v>
      </c>
      <c r="X38" s="32">
        <f t="shared" si="14"/>
        <v>4073.8345992767131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260</v>
      </c>
      <c r="AM38" s="113">
        <f t="shared" si="11"/>
        <v>8738600000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4512</v>
      </c>
      <c r="L39" s="117">
        <v>-1000000</v>
      </c>
      <c r="M39" s="168" t="s">
        <v>4856</v>
      </c>
      <c r="N39" s="113">
        <v>-18000000</v>
      </c>
      <c r="O39" s="96"/>
      <c r="P39" s="114"/>
      <c r="Q39" s="169">
        <v>138358</v>
      </c>
      <c r="R39" s="219" t="s">
        <v>4809</v>
      </c>
      <c r="S39" s="199">
        <f>S38-1</f>
        <v>6</v>
      </c>
      <c r="T39" s="219" t="s">
        <v>4810</v>
      </c>
      <c r="U39" s="219">
        <v>3130</v>
      </c>
      <c r="V39" s="219">
        <f t="shared" si="6"/>
        <v>3179.4625753424657</v>
      </c>
      <c r="W39" s="32">
        <f t="shared" si="13"/>
        <v>3243.0518268493151</v>
      </c>
      <c r="X39" s="32">
        <f t="shared" si="14"/>
        <v>3306.6410783561646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256</v>
      </c>
      <c r="AM39" s="113">
        <f t="shared" si="11"/>
        <v>-3993600000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4858</v>
      </c>
      <c r="N40" s="113">
        <v>-47500000</v>
      </c>
      <c r="O40" s="96"/>
      <c r="P40" s="96"/>
      <c r="Q40" s="169">
        <v>3377001</v>
      </c>
      <c r="R40" s="219" t="s">
        <v>4819</v>
      </c>
      <c r="S40" s="199">
        <f>S39-4</f>
        <v>2</v>
      </c>
      <c r="T40" s="219" t="s">
        <v>4825</v>
      </c>
      <c r="U40" s="219">
        <v>3324.8</v>
      </c>
      <c r="V40" s="219">
        <f t="shared" si="6"/>
        <v>3367.1388230136995</v>
      </c>
      <c r="W40" s="32">
        <f t="shared" si="13"/>
        <v>3434.4815994739733</v>
      </c>
      <c r="X40" s="32">
        <f t="shared" si="14"/>
        <v>3501.8243759342477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253</v>
      </c>
      <c r="AM40" s="113">
        <f t="shared" si="11"/>
        <v>1897500000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 t="s">
        <v>4415</v>
      </c>
      <c r="L41" s="117">
        <v>3000000</v>
      </c>
      <c r="M41" s="168"/>
      <c r="N41" s="113"/>
      <c r="O41" s="96" t="s">
        <v>25</v>
      </c>
      <c r="P41" s="96"/>
      <c r="Q41" s="169">
        <v>63610880</v>
      </c>
      <c r="R41" s="219" t="s">
        <v>4819</v>
      </c>
      <c r="S41" s="199">
        <f>S40</f>
        <v>2</v>
      </c>
      <c r="T41" s="219" t="s">
        <v>4823</v>
      </c>
      <c r="U41" s="219">
        <v>4176.3</v>
      </c>
      <c r="V41" s="219">
        <f t="shared" si="6"/>
        <v>4229.4820339726039</v>
      </c>
      <c r="W41" s="32">
        <f t="shared" si="13"/>
        <v>4314.0716746520557</v>
      </c>
      <c r="X41" s="32">
        <f t="shared" si="14"/>
        <v>4398.6613153315084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249</v>
      </c>
      <c r="AM41" s="113">
        <f t="shared" si="11"/>
        <v>-24402000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4618</v>
      </c>
      <c r="L42" s="117">
        <v>2000000</v>
      </c>
      <c r="M42" s="168" t="s">
        <v>4461</v>
      </c>
      <c r="N42" s="113">
        <v>19965</v>
      </c>
      <c r="P42" t="s">
        <v>25</v>
      </c>
      <c r="Q42" s="169">
        <v>15499033</v>
      </c>
      <c r="R42" s="219" t="s">
        <v>4819</v>
      </c>
      <c r="S42" s="199">
        <f>S41</f>
        <v>2</v>
      </c>
      <c r="T42" s="219" t="s">
        <v>4824</v>
      </c>
      <c r="U42" s="219">
        <v>525.1</v>
      </c>
      <c r="V42" s="219">
        <f t="shared" si="6"/>
        <v>531.7867528767124</v>
      </c>
      <c r="W42" s="32">
        <f t="shared" si="13"/>
        <v>542.42248793424665</v>
      </c>
      <c r="X42" s="32">
        <f t="shared" si="14"/>
        <v>553.05822299178089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248</v>
      </c>
      <c r="AM42" s="113">
        <f t="shared" si="11"/>
        <v>-6448000000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/>
      <c r="L43" s="117"/>
      <c r="M43" s="168"/>
      <c r="N43" s="113"/>
      <c r="O43" s="99"/>
      <c r="P43" s="99"/>
      <c r="Q43" s="169">
        <v>30673673</v>
      </c>
      <c r="R43" s="219" t="s">
        <v>4829</v>
      </c>
      <c r="S43" s="199">
        <f>S42-1</f>
        <v>1</v>
      </c>
      <c r="T43" s="219" t="s">
        <v>4834</v>
      </c>
      <c r="U43" s="219">
        <v>529.79999999999995</v>
      </c>
      <c r="V43" s="219">
        <f t="shared" si="6"/>
        <v>536.14018191780815</v>
      </c>
      <c r="W43" s="32">
        <f t="shared" si="13"/>
        <v>546.86298555616429</v>
      </c>
      <c r="X43" s="32">
        <f t="shared" si="14"/>
        <v>557.58578919452054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248</v>
      </c>
      <c r="AM43" s="113">
        <f t="shared" si="11"/>
        <v>6200000000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/>
      <c r="L44" s="117"/>
      <c r="M44" s="209" t="s">
        <v>4392</v>
      </c>
      <c r="N44" s="113">
        <f>O44*P44</f>
        <v>88992080</v>
      </c>
      <c r="O44" s="99">
        <v>26800</v>
      </c>
      <c r="P44" s="99">
        <v>3320.6</v>
      </c>
      <c r="Q44" s="169">
        <v>5420397</v>
      </c>
      <c r="R44" s="219" t="s">
        <v>4829</v>
      </c>
      <c r="S44" s="199">
        <f>S43</f>
        <v>1</v>
      </c>
      <c r="T44" s="219" t="s">
        <v>4835</v>
      </c>
      <c r="U44" s="219">
        <v>5395.9</v>
      </c>
      <c r="V44" s="219">
        <f t="shared" si="6"/>
        <v>5460.4734005479449</v>
      </c>
      <c r="W44" s="32">
        <f t="shared" si="13"/>
        <v>5569.6828685589044</v>
      </c>
      <c r="X44" s="32">
        <f t="shared" si="14"/>
        <v>5678.8923365698629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247</v>
      </c>
      <c r="AM44" s="113">
        <f t="shared" si="11"/>
        <v>27170000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21" t="s">
        <v>4594</v>
      </c>
      <c r="N45" s="117">
        <f t="shared" ref="N45:N55" si="15">O45*P45</f>
        <v>722200</v>
      </c>
      <c r="O45" s="69">
        <v>2000</v>
      </c>
      <c r="P45" s="69">
        <v>361.1</v>
      </c>
      <c r="Q45" s="169">
        <v>38533873</v>
      </c>
      <c r="R45" s="219" t="s">
        <v>4829</v>
      </c>
      <c r="S45" s="199">
        <f>S44</f>
        <v>1</v>
      </c>
      <c r="T45" s="219" t="s">
        <v>4836</v>
      </c>
      <c r="U45" s="219">
        <v>3355.8</v>
      </c>
      <c r="V45" s="219">
        <f t="shared" si="6"/>
        <v>3395.9592723287674</v>
      </c>
      <c r="W45" s="32">
        <f t="shared" si="13"/>
        <v>3463.8784577753427</v>
      </c>
      <c r="X45" s="32">
        <f t="shared" si="14"/>
        <v>3531.7976432219184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246</v>
      </c>
      <c r="AM45" s="113">
        <f t="shared" si="11"/>
        <v>93480000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4579</v>
      </c>
      <c r="N46" s="117">
        <f t="shared" si="15"/>
        <v>1116500</v>
      </c>
      <c r="O46" s="69">
        <v>1000</v>
      </c>
      <c r="P46" s="69">
        <v>1116.5</v>
      </c>
      <c r="Q46" s="169"/>
      <c r="R46" s="168"/>
      <c r="S46" s="168"/>
      <c r="T46" s="168"/>
      <c r="U46" s="168"/>
      <c r="V46" s="219">
        <f t="shared" si="6"/>
        <v>0</v>
      </c>
      <c r="W46" s="32">
        <f t="shared" si="13"/>
        <v>0</v>
      </c>
      <c r="X46" s="32">
        <f t="shared" si="14"/>
        <v>0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239</v>
      </c>
      <c r="AM46" s="113">
        <f t="shared" si="11"/>
        <v>107550000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4396</v>
      </c>
      <c r="N47" s="113">
        <f t="shared" si="15"/>
        <v>148896898.80000001</v>
      </c>
      <c r="O47" s="69">
        <v>28236</v>
      </c>
      <c r="P47" s="69">
        <v>5273.3</v>
      </c>
      <c r="Q47" s="169">
        <f>SUM(N21:N25)-SUM(Q20:Q46)</f>
        <v>2813087.3000000119</v>
      </c>
      <c r="R47" s="168"/>
      <c r="S47" s="168" t="s">
        <v>25</v>
      </c>
      <c r="T47" s="168"/>
      <c r="U47" s="168"/>
      <c r="V47" s="168"/>
      <c r="W47" s="32"/>
      <c r="X47" s="32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233</v>
      </c>
      <c r="AM47" s="113">
        <f t="shared" si="11"/>
        <v>652400000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4411</v>
      </c>
      <c r="N48" s="117">
        <f t="shared" si="15"/>
        <v>59131033.499999993</v>
      </c>
      <c r="O48" s="69">
        <v>111295</v>
      </c>
      <c r="P48" s="69">
        <v>531.29999999999995</v>
      </c>
      <c r="R48" s="115"/>
      <c r="S48" s="115" t="s">
        <v>25</v>
      </c>
      <c r="T48" s="115"/>
      <c r="U48" s="115"/>
      <c r="V48" s="115"/>
      <c r="W48" s="196"/>
      <c r="X48" s="196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232</v>
      </c>
      <c r="AM48" s="113">
        <f t="shared" si="11"/>
        <v>-348000000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4545</v>
      </c>
      <c r="N49" s="117">
        <f t="shared" si="15"/>
        <v>4440624.9000000004</v>
      </c>
      <c r="O49" s="69">
        <v>1083</v>
      </c>
      <c r="P49" s="69">
        <v>4100.3</v>
      </c>
      <c r="Q49" s="96"/>
      <c r="R49" s="115"/>
      <c r="S49" s="115"/>
      <c r="T49" s="115" t="s">
        <v>25</v>
      </c>
      <c r="U49" s="115"/>
      <c r="V49" s="115"/>
      <c r="W49" s="196"/>
      <c r="X49" s="196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232</v>
      </c>
      <c r="AM49" s="113">
        <f t="shared" si="11"/>
        <v>707600000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4544</v>
      </c>
      <c r="N50" s="117">
        <f t="shared" si="15"/>
        <v>14078820.300000001</v>
      </c>
      <c r="O50" s="69">
        <v>2913</v>
      </c>
      <c r="P50" s="69">
        <v>4833.1000000000004</v>
      </c>
      <c r="Q50" s="168" t="s">
        <v>657</v>
      </c>
      <c r="R50" s="168"/>
      <c r="S50" s="168"/>
      <c r="T50" s="168"/>
      <c r="U50" s="168"/>
      <c r="V50" s="168"/>
      <c r="W50" s="32"/>
      <c r="X50" s="32"/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229</v>
      </c>
      <c r="AM50" s="113">
        <f t="shared" si="11"/>
        <v>-1900611148</v>
      </c>
      <c r="AN50" s="99"/>
    </row>
    <row r="51" spans="1:40" ht="3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4627</v>
      </c>
      <c r="N51" s="117">
        <f t="shared" si="15"/>
        <v>3511350</v>
      </c>
      <c r="O51" s="69">
        <v>5100</v>
      </c>
      <c r="P51" s="69">
        <v>688.5</v>
      </c>
      <c r="Q51" s="168" t="s">
        <v>267</v>
      </c>
      <c r="R51" s="168" t="s">
        <v>180</v>
      </c>
      <c r="S51" s="168" t="s">
        <v>183</v>
      </c>
      <c r="T51" s="168" t="s">
        <v>8</v>
      </c>
      <c r="U51" s="168" t="s">
        <v>4364</v>
      </c>
      <c r="V51" s="73" t="s">
        <v>4366</v>
      </c>
      <c r="W51" s="32">
        <v>2</v>
      </c>
      <c r="X51" s="32">
        <v>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227</v>
      </c>
      <c r="AM51" s="113">
        <f t="shared" si="11"/>
        <v>1135000000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4598</v>
      </c>
      <c r="N52" s="113">
        <f t="shared" si="15"/>
        <v>21238</v>
      </c>
      <c r="O52" s="69">
        <v>1148</v>
      </c>
      <c r="P52" s="69">
        <v>18.5</v>
      </c>
      <c r="Q52" s="168">
        <v>0</v>
      </c>
      <c r="R52" s="168" t="s">
        <v>4172</v>
      </c>
      <c r="S52" s="168">
        <f>S70</f>
        <v>156</v>
      </c>
      <c r="T52" s="168"/>
      <c r="U52" s="168"/>
      <c r="V52" s="73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213</v>
      </c>
      <c r="AM52" s="113">
        <f t="shared" si="11"/>
        <v>-19170000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4645</v>
      </c>
      <c r="N53" s="117">
        <f t="shared" si="15"/>
        <v>1177000</v>
      </c>
      <c r="O53" s="69">
        <v>5500</v>
      </c>
      <c r="P53" s="69">
        <v>214</v>
      </c>
      <c r="Q53" s="169">
        <v>863944</v>
      </c>
      <c r="R53" s="168" t="s">
        <v>4440</v>
      </c>
      <c r="S53" s="168">
        <f>S52-62</f>
        <v>94</v>
      </c>
      <c r="T53" s="192" t="s">
        <v>4516</v>
      </c>
      <c r="U53" s="168">
        <v>184.6</v>
      </c>
      <c r="V53" s="168">
        <f t="shared" ref="V53:V61" si="16">U53*(1+$N$86+$Q$15*S53/36500)</f>
        <v>199.9789501369863</v>
      </c>
      <c r="W53" s="32">
        <f t="shared" ref="W53:W61" si="17">V53*(1+$W$19/100)</f>
        <v>203.97852913972602</v>
      </c>
      <c r="X53" s="32">
        <f t="shared" ref="X53:X61" si="18">V53*(1+$X$19/100)</f>
        <v>207.97810814246577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212</v>
      </c>
      <c r="AM53" s="113">
        <f t="shared" si="11"/>
        <v>1187200000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56"/>
      <c r="L54" s="117"/>
      <c r="M54" s="19" t="s">
        <v>4179</v>
      </c>
      <c r="N54" s="113">
        <f t="shared" si="15"/>
        <v>235069267.19999999</v>
      </c>
      <c r="O54" s="99">
        <v>1266537</v>
      </c>
      <c r="P54" s="99">
        <v>185.6</v>
      </c>
      <c r="Q54" s="169">
        <v>1692313</v>
      </c>
      <c r="R54" s="168" t="s">
        <v>4519</v>
      </c>
      <c r="S54" s="199">
        <f>S53-21</f>
        <v>73</v>
      </c>
      <c r="T54" s="191" t="s">
        <v>4520</v>
      </c>
      <c r="U54" s="168">
        <v>168.5</v>
      </c>
      <c r="V54" s="168">
        <f t="shared" si="16"/>
        <v>179.82320000000001</v>
      </c>
      <c r="W54" s="32">
        <f t="shared" si="17"/>
        <v>183.41966400000001</v>
      </c>
      <c r="X54" s="32">
        <f t="shared" si="18"/>
        <v>187.01612800000001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208</v>
      </c>
      <c r="AM54" s="113">
        <f t="shared" si="11"/>
        <v>156000000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21" t="s">
        <v>1086</v>
      </c>
      <c r="N55" s="117">
        <f t="shared" si="15"/>
        <v>14310000</v>
      </c>
      <c r="O55" s="69">
        <v>30</v>
      </c>
      <c r="P55" s="69">
        <v>477000</v>
      </c>
      <c r="Q55" s="169">
        <v>101153</v>
      </c>
      <c r="R55" s="168" t="s">
        <v>4522</v>
      </c>
      <c r="S55" s="199">
        <f>S54-1</f>
        <v>72</v>
      </c>
      <c r="T55" s="191" t="s">
        <v>4524</v>
      </c>
      <c r="U55" s="168">
        <v>166.7</v>
      </c>
      <c r="V55" s="168">
        <f t="shared" si="16"/>
        <v>177.77436054794521</v>
      </c>
      <c r="W55" s="32">
        <f t="shared" si="17"/>
        <v>181.32984775890412</v>
      </c>
      <c r="X55" s="32">
        <f t="shared" si="18"/>
        <v>184.88533496986301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206</v>
      </c>
      <c r="AM55" s="170">
        <f t="shared" si="11"/>
        <v>-873852000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73"/>
      <c r="N56" s="117"/>
      <c r="O56" s="122"/>
      <c r="P56" s="122"/>
      <c r="Q56" s="169">
        <v>183105</v>
      </c>
      <c r="R56" s="168" t="s">
        <v>4231</v>
      </c>
      <c r="S56" s="199">
        <f>S55-1</f>
        <v>71</v>
      </c>
      <c r="T56" s="191" t="s">
        <v>4528</v>
      </c>
      <c r="U56" s="168">
        <v>166.6</v>
      </c>
      <c r="V56" s="168">
        <f t="shared" si="16"/>
        <v>177.53991452054797</v>
      </c>
      <c r="W56" s="32">
        <f t="shared" si="17"/>
        <v>181.09071281095893</v>
      </c>
      <c r="X56" s="32">
        <f t="shared" si="18"/>
        <v>184.6415111013699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204</v>
      </c>
      <c r="AM56" s="113">
        <f t="shared" si="11"/>
        <v>836400000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168" t="s">
        <v>1152</v>
      </c>
      <c r="N57" s="117">
        <v>14908</v>
      </c>
      <c r="O57" s="96" t="s">
        <v>25</v>
      </c>
      <c r="P57" t="s">
        <v>25</v>
      </c>
      <c r="Q57" s="169">
        <v>168846</v>
      </c>
      <c r="R57" s="168" t="s">
        <v>3691</v>
      </c>
      <c r="S57" s="199">
        <f>S56-30</f>
        <v>41</v>
      </c>
      <c r="T57" s="191" t="s">
        <v>4635</v>
      </c>
      <c r="U57" s="168">
        <v>172.2</v>
      </c>
      <c r="V57" s="168">
        <f t="shared" si="16"/>
        <v>179.54468383561644</v>
      </c>
      <c r="W57" s="32">
        <f t="shared" si="17"/>
        <v>183.13557751232878</v>
      </c>
      <c r="X57" s="32">
        <f t="shared" si="18"/>
        <v>186.72647118904109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204</v>
      </c>
      <c r="AM57" s="113">
        <f t="shared" si="11"/>
        <v>836400000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99"/>
      <c r="M58" s="168" t="s">
        <v>1153</v>
      </c>
      <c r="N58" s="117">
        <v>5282</v>
      </c>
      <c r="O58" s="96"/>
      <c r="P58" t="s">
        <v>25</v>
      </c>
      <c r="Q58" s="169">
        <v>250962</v>
      </c>
      <c r="R58" s="168" t="s">
        <v>4680</v>
      </c>
      <c r="S58" s="199">
        <f>S57-10</f>
        <v>31</v>
      </c>
      <c r="T58" s="191" t="s">
        <v>4681</v>
      </c>
      <c r="U58" s="168">
        <v>5315.5</v>
      </c>
      <c r="V58" s="168">
        <f t="shared" si="16"/>
        <v>5501.4405589041098</v>
      </c>
      <c r="W58" s="32">
        <f t="shared" si="17"/>
        <v>5611.4693700821917</v>
      </c>
      <c r="X58" s="32">
        <f t="shared" si="18"/>
        <v>5721.4981812602746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203</v>
      </c>
      <c r="AM58" s="113">
        <f t="shared" si="11"/>
        <v>160370000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168"/>
      <c r="L59" s="117"/>
      <c r="M59" s="168"/>
      <c r="N59" s="113"/>
      <c r="O59" s="115"/>
      <c r="P59" s="115"/>
      <c r="Q59" s="169">
        <v>352231</v>
      </c>
      <c r="R59" s="219" t="s">
        <v>4735</v>
      </c>
      <c r="S59" s="199">
        <f>S58-7</f>
        <v>24</v>
      </c>
      <c r="T59" s="191" t="s">
        <v>4737</v>
      </c>
      <c r="U59" s="219">
        <v>502.3</v>
      </c>
      <c r="V59" s="219">
        <f t="shared" si="16"/>
        <v>517.17358465753421</v>
      </c>
      <c r="W59" s="32">
        <f t="shared" si="17"/>
        <v>527.51705635068492</v>
      </c>
      <c r="X59" s="32">
        <f t="shared" si="18"/>
        <v>537.86052804383564</v>
      </c>
      <c r="Y59">
        <v>961521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188</v>
      </c>
      <c r="AM59" s="172">
        <f t="shared" si="11"/>
        <v>-726620000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 t="s">
        <v>25</v>
      </c>
      <c r="L60" s="117"/>
      <c r="M60" s="168" t="s">
        <v>4180</v>
      </c>
      <c r="N60" s="113">
        <f>-O60*P60</f>
        <v>-15362668.799999999</v>
      </c>
      <c r="O60" s="99">
        <v>82773</v>
      </c>
      <c r="P60" s="99">
        <f>P54</f>
        <v>185.6</v>
      </c>
      <c r="Q60" s="169">
        <v>165067</v>
      </c>
      <c r="R60" s="219" t="s">
        <v>4788</v>
      </c>
      <c r="S60" s="199">
        <f>S59-16</f>
        <v>8</v>
      </c>
      <c r="T60" s="191" t="s">
        <v>4797</v>
      </c>
      <c r="U60" s="219">
        <v>3095.9</v>
      </c>
      <c r="V60" s="219">
        <f t="shared" si="16"/>
        <v>3149.5735758904111</v>
      </c>
      <c r="W60" s="32">
        <f t="shared" si="17"/>
        <v>3212.5650474082195</v>
      </c>
      <c r="X60" s="32">
        <f t="shared" si="18"/>
        <v>3275.5565189260278</v>
      </c>
      <c r="Y60">
        <v>44349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182</v>
      </c>
      <c r="AM60" s="113">
        <f t="shared" si="11"/>
        <v>3421600000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/>
      <c r="L61" s="117"/>
      <c r="M61" s="168"/>
      <c r="N61" s="113"/>
      <c r="Q61" s="169"/>
      <c r="R61" s="168"/>
      <c r="S61" s="113"/>
      <c r="T61" s="113"/>
      <c r="U61" s="168"/>
      <c r="V61" s="168">
        <f t="shared" si="16"/>
        <v>0</v>
      </c>
      <c r="W61" s="32">
        <f t="shared" si="17"/>
        <v>0</v>
      </c>
      <c r="X61" s="32">
        <f t="shared" si="18"/>
        <v>0</v>
      </c>
      <c r="Y61">
        <v>9625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179</v>
      </c>
      <c r="AM61" s="113">
        <f t="shared" si="11"/>
        <v>89500000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Q62" s="113">
        <f>SUM(N28:N31)-SUM(Q52:Q61)</f>
        <v>413751.70000000019</v>
      </c>
      <c r="R62" s="168"/>
      <c r="S62" s="168"/>
      <c r="T62" s="168"/>
      <c r="U62" s="168"/>
      <c r="V62" s="168"/>
      <c r="W62" s="32"/>
      <c r="X62" s="32"/>
      <c r="Y62">
        <v>6980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178</v>
      </c>
      <c r="AM62" s="113">
        <f t="shared" si="11"/>
        <v>35600000</v>
      </c>
      <c r="AN62" s="20"/>
    </row>
    <row r="63" spans="1:40">
      <c r="E63" s="26"/>
      <c r="K63" s="168"/>
      <c r="L63" s="117"/>
      <c r="M63" s="168" t="s">
        <v>4448</v>
      </c>
      <c r="N63" s="113">
        <f>-S149</f>
        <v>-14861914.056051521</v>
      </c>
      <c r="R63" s="115"/>
      <c r="S63" s="115"/>
      <c r="T63" s="115" t="s">
        <v>25</v>
      </c>
      <c r="U63" s="115"/>
      <c r="V63" s="115"/>
      <c r="W63" s="196"/>
      <c r="X63" s="196"/>
      <c r="Y63">
        <v>6963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175</v>
      </c>
      <c r="AM63" s="113">
        <f t="shared" si="11"/>
        <v>175000000</v>
      </c>
      <c r="AN63" s="20"/>
    </row>
    <row r="64" spans="1:40">
      <c r="E64" s="26"/>
      <c r="K64" s="168"/>
      <c r="L64" s="117"/>
      <c r="M64" s="168" t="s">
        <v>4761</v>
      </c>
      <c r="N64" s="113">
        <f>50*P55</f>
        <v>23850000</v>
      </c>
      <c r="P64" t="s">
        <v>25</v>
      </c>
      <c r="Q64" t="s">
        <v>25</v>
      </c>
      <c r="S64" s="26" t="s">
        <v>25</v>
      </c>
      <c r="T64" t="s">
        <v>25</v>
      </c>
      <c r="U64" s="96" t="s">
        <v>25</v>
      </c>
      <c r="V64" s="115" t="s">
        <v>25</v>
      </c>
      <c r="W64" s="196"/>
      <c r="X64" s="196"/>
      <c r="Y64" s="96">
        <v>0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172</v>
      </c>
      <c r="AM64" s="113">
        <f t="shared" si="11"/>
        <v>223600000</v>
      </c>
      <c r="AN64" s="20"/>
    </row>
    <row r="65" spans="1:40">
      <c r="K65" s="168"/>
      <c r="L65" s="117"/>
      <c r="M65" s="168"/>
      <c r="N65" s="113"/>
      <c r="Q65" t="s">
        <v>25</v>
      </c>
      <c r="T65" t="s">
        <v>25</v>
      </c>
      <c r="W65" s="196"/>
      <c r="X65" s="196"/>
      <c r="Y65" s="96">
        <v>9904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9">AL66+AK65</f>
        <v>172</v>
      </c>
      <c r="AM65" s="113">
        <f t="shared" si="11"/>
        <v>171140000</v>
      </c>
      <c r="AN65" s="20"/>
    </row>
    <row r="66" spans="1:40">
      <c r="K66" s="168" t="s">
        <v>598</v>
      </c>
      <c r="L66" s="113">
        <f>SUM(L16:L51)</f>
        <v>384117382.76102358</v>
      </c>
      <c r="M66" s="168"/>
      <c r="N66" s="113">
        <f>SUM(N16:N65)</f>
        <v>411846602.0829249</v>
      </c>
      <c r="T66" t="s">
        <v>25</v>
      </c>
      <c r="U66" s="96" t="s">
        <v>25</v>
      </c>
      <c r="W66" s="196"/>
      <c r="X66" s="196"/>
      <c r="Y66" s="96">
        <v>0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9"/>
        <v>170</v>
      </c>
      <c r="AM66" s="113">
        <f t="shared" si="11"/>
        <v>2210000000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599</v>
      </c>
      <c r="L67" s="113">
        <f>L16+L17+L25</f>
        <v>621510</v>
      </c>
      <c r="M67" s="168"/>
      <c r="N67" s="113">
        <f>N16+N17+N35</f>
        <v>2336112</v>
      </c>
      <c r="W67" s="196"/>
      <c r="X67" s="196"/>
      <c r="Y67" s="96">
        <v>0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9"/>
        <v>168</v>
      </c>
      <c r="AM67" s="113">
        <f t="shared" si="11"/>
        <v>-520800000</v>
      </c>
      <c r="AN67" s="20"/>
    </row>
    <row r="68" spans="1:40" ht="30">
      <c r="F68" t="s">
        <v>4103</v>
      </c>
      <c r="G68" t="s">
        <v>4098</v>
      </c>
      <c r="K68" s="56" t="s">
        <v>716</v>
      </c>
      <c r="L68" s="1">
        <f>L66+N7</f>
        <v>454117382.76102358</v>
      </c>
      <c r="M68" s="113"/>
      <c r="N68" s="168"/>
      <c r="O68" s="115"/>
      <c r="P68" s="115"/>
      <c r="Q68" s="73" t="s">
        <v>4295</v>
      </c>
      <c r="R68" s="112"/>
      <c r="S68" s="112"/>
      <c r="T68" s="112"/>
      <c r="U68" s="168" t="s">
        <v>4364</v>
      </c>
      <c r="V68" s="36" t="s">
        <v>4366</v>
      </c>
      <c r="W68" s="32"/>
      <c r="X68" s="32"/>
      <c r="Y68" s="96">
        <v>10000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9"/>
        <v>165</v>
      </c>
      <c r="AM68" s="113">
        <f t="shared" si="11"/>
        <v>7530600000</v>
      </c>
      <c r="AN68" s="20"/>
    </row>
    <row r="69" spans="1:40">
      <c r="F69" t="s">
        <v>4104</v>
      </c>
      <c r="G69" t="s">
        <v>4100</v>
      </c>
      <c r="O69" s="96"/>
      <c r="P69" s="96"/>
      <c r="Q69" s="112" t="s">
        <v>267</v>
      </c>
      <c r="R69" s="112" t="s">
        <v>180</v>
      </c>
      <c r="S69" s="112" t="s">
        <v>183</v>
      </c>
      <c r="T69" s="112" t="s">
        <v>8</v>
      </c>
      <c r="U69" s="168"/>
      <c r="V69" s="99"/>
      <c r="W69" s="32">
        <v>2</v>
      </c>
      <c r="X69" s="32">
        <v>4</v>
      </c>
      <c r="Y69" s="96">
        <v>5664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9"/>
        <v>164</v>
      </c>
      <c r="AM69" s="113">
        <f t="shared" si="11"/>
        <v>5494000000</v>
      </c>
      <c r="AN69" s="20"/>
    </row>
    <row r="70" spans="1:40">
      <c r="G70" t="s">
        <v>4101</v>
      </c>
      <c r="M70" s="25"/>
      <c r="O70" t="s">
        <v>25</v>
      </c>
      <c r="Q70" s="35">
        <v>184971545</v>
      </c>
      <c r="R70" s="5" t="s">
        <v>4172</v>
      </c>
      <c r="S70" s="5">
        <v>156</v>
      </c>
      <c r="T70" s="5" t="s">
        <v>4347</v>
      </c>
      <c r="U70" s="168">
        <v>192</v>
      </c>
      <c r="V70" s="99">
        <f t="shared" ref="V70:V101" si="20">U70*(1+$N$86+$Q$15*S70/36500)</f>
        <v>217.12727671232881</v>
      </c>
      <c r="W70" s="32">
        <f t="shared" ref="W70:W92" si="21">V70*(1+$W$19/100)</f>
        <v>221.46982224657538</v>
      </c>
      <c r="X70" s="32">
        <f t="shared" ref="X70:X92" si="22">V70*(1+$X$19/100)</f>
        <v>225.81236778082197</v>
      </c>
      <c r="Y70" s="96">
        <v>10000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9"/>
        <v>163</v>
      </c>
      <c r="AM70" s="117">
        <f t="shared" si="11"/>
        <v>1956000000</v>
      </c>
      <c r="AN70" s="20"/>
    </row>
    <row r="71" spans="1:40">
      <c r="G71" t="s">
        <v>4102</v>
      </c>
      <c r="M71" s="25" t="s">
        <v>4080</v>
      </c>
      <c r="O71" s="115"/>
      <c r="P71" s="115"/>
      <c r="Q71" s="35">
        <v>9560464</v>
      </c>
      <c r="R71" s="5" t="s">
        <v>4299</v>
      </c>
      <c r="S71" s="5">
        <f>S70-31</f>
        <v>125</v>
      </c>
      <c r="T71" s="5" t="s">
        <v>4312</v>
      </c>
      <c r="U71" s="168">
        <v>214.57</v>
      </c>
      <c r="V71" s="99">
        <f t="shared" si="20"/>
        <v>237.54838947945206</v>
      </c>
      <c r="W71" s="32">
        <f t="shared" si="21"/>
        <v>242.29935726904111</v>
      </c>
      <c r="X71" s="32">
        <f t="shared" si="22"/>
        <v>247.05032505863014</v>
      </c>
      <c r="Y71" s="96">
        <v>8695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9"/>
        <v>162</v>
      </c>
      <c r="AM71" s="117">
        <f t="shared" si="11"/>
        <v>2511000000</v>
      </c>
      <c r="AN71" s="20"/>
    </row>
    <row r="72" spans="1:40">
      <c r="G72" t="s">
        <v>4106</v>
      </c>
      <c r="M72" s="177"/>
      <c r="O72" s="115"/>
      <c r="P72" s="115"/>
      <c r="Q72" s="35">
        <v>2000000</v>
      </c>
      <c r="R72" s="5" t="s">
        <v>4342</v>
      </c>
      <c r="S72" s="5">
        <f>S71-11</f>
        <v>114</v>
      </c>
      <c r="T72" s="5" t="s">
        <v>4346</v>
      </c>
      <c r="U72" s="168">
        <v>206.8</v>
      </c>
      <c r="V72" s="99">
        <f t="shared" si="20"/>
        <v>227.20124493150689</v>
      </c>
      <c r="W72" s="32">
        <f t="shared" si="21"/>
        <v>231.74526983013703</v>
      </c>
      <c r="X72" s="32">
        <f t="shared" si="22"/>
        <v>236.28929472876717</v>
      </c>
      <c r="Y72" s="96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9"/>
        <v>158</v>
      </c>
      <c r="AM72" s="117">
        <f t="shared" si="11"/>
        <v>23700000</v>
      </c>
      <c r="AN72" s="20"/>
    </row>
    <row r="73" spans="1:40">
      <c r="G73" t="s">
        <v>4105</v>
      </c>
      <c r="M73" s="96" t="s">
        <v>4783</v>
      </c>
      <c r="Q73" s="35">
        <v>1429825</v>
      </c>
      <c r="R73" s="5" t="s">
        <v>4373</v>
      </c>
      <c r="S73" s="5">
        <f>S72-7</f>
        <v>107</v>
      </c>
      <c r="T73" s="5" t="s">
        <v>4382</v>
      </c>
      <c r="U73" s="168">
        <v>203.9</v>
      </c>
      <c r="V73" s="99">
        <f t="shared" si="20"/>
        <v>222.9202389041096</v>
      </c>
      <c r="W73" s="32">
        <f t="shared" si="21"/>
        <v>227.37864368219178</v>
      </c>
      <c r="X73" s="32">
        <f t="shared" si="22"/>
        <v>231.83704846027399</v>
      </c>
      <c r="Y73" s="96"/>
      <c r="AH73" s="180">
        <v>53</v>
      </c>
      <c r="AI73" s="181" t="s">
        <v>4172</v>
      </c>
      <c r="AJ73" s="181">
        <v>29000000</v>
      </c>
      <c r="AK73" s="180">
        <v>15</v>
      </c>
      <c r="AL73" s="180">
        <f t="shared" si="19"/>
        <v>157</v>
      </c>
      <c r="AM73" s="181">
        <f t="shared" si="11"/>
        <v>4553000000</v>
      </c>
      <c r="AN73" s="180" t="s">
        <v>4186</v>
      </c>
    </row>
    <row r="74" spans="1:40">
      <c r="M74" s="122" t="s">
        <v>4412</v>
      </c>
      <c r="O74" s="114"/>
      <c r="Q74" s="35">
        <v>1420747</v>
      </c>
      <c r="R74" s="5" t="s">
        <v>4373</v>
      </c>
      <c r="S74" s="5">
        <f>S73</f>
        <v>107</v>
      </c>
      <c r="T74" s="5" t="s">
        <v>4384</v>
      </c>
      <c r="U74" s="168">
        <v>203.1</v>
      </c>
      <c r="V74" s="99">
        <f t="shared" si="20"/>
        <v>222.04561315068494</v>
      </c>
      <c r="W74" s="32">
        <f t="shared" si="21"/>
        <v>226.48652541369864</v>
      </c>
      <c r="X74" s="32">
        <f t="shared" si="22"/>
        <v>230.92743767671234</v>
      </c>
      <c r="Y74" s="96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9"/>
        <v>142</v>
      </c>
      <c r="AM74" s="117">
        <f t="shared" si="11"/>
        <v>-18460000</v>
      </c>
      <c r="AN74" s="20" t="s">
        <v>4212</v>
      </c>
    </row>
    <row r="75" spans="1:40">
      <c r="M75" s="122" t="s">
        <v>4513</v>
      </c>
      <c r="N75" s="96"/>
      <c r="Q75" s="35">
        <v>2412371</v>
      </c>
      <c r="R75" s="5" t="s">
        <v>4375</v>
      </c>
      <c r="S75" s="5">
        <f>S74-1</f>
        <v>106</v>
      </c>
      <c r="T75" s="5" t="s">
        <v>4391</v>
      </c>
      <c r="U75" s="168">
        <v>3930</v>
      </c>
      <c r="V75" s="99">
        <f t="shared" si="20"/>
        <v>4293.584219178083</v>
      </c>
      <c r="W75" s="32">
        <f t="shared" si="21"/>
        <v>4379.4559035616448</v>
      </c>
      <c r="X75" s="32">
        <f t="shared" si="22"/>
        <v>4465.3275879452067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9"/>
        <v>135</v>
      </c>
      <c r="AM75" s="117">
        <f>AJ75*AL75</f>
        <v>31320000</v>
      </c>
      <c r="AN75" s="20" t="s">
        <v>4260</v>
      </c>
    </row>
    <row r="76" spans="1:40">
      <c r="D76" s="3"/>
      <c r="E76" s="11" t="s">
        <v>304</v>
      </c>
      <c r="M76" s="122" t="s">
        <v>4587</v>
      </c>
      <c r="N76" s="96"/>
      <c r="P76" t="s">
        <v>25</v>
      </c>
      <c r="Q76" s="35">
        <v>2010885</v>
      </c>
      <c r="R76" s="5" t="s">
        <v>4394</v>
      </c>
      <c r="S76" s="5">
        <f>S75-2</f>
        <v>104</v>
      </c>
      <c r="T76" s="5" t="s">
        <v>4400</v>
      </c>
      <c r="U76" s="168">
        <v>202.1</v>
      </c>
      <c r="V76" s="99">
        <f t="shared" si="20"/>
        <v>220.48722410958905</v>
      </c>
      <c r="W76" s="32">
        <f t="shared" si="21"/>
        <v>224.89696859178085</v>
      </c>
      <c r="X76" s="32">
        <f t="shared" si="22"/>
        <v>229.30671307397262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9"/>
        <v>133</v>
      </c>
      <c r="AM76" s="117">
        <f t="shared" si="11"/>
        <v>-22610000</v>
      </c>
      <c r="AN76" s="20"/>
    </row>
    <row r="77" spans="1:40" ht="45">
      <c r="D77" s="1" t="s">
        <v>305</v>
      </c>
      <c r="E77" s="1">
        <v>70000</v>
      </c>
      <c r="K77" s="218" t="s">
        <v>4814</v>
      </c>
      <c r="L77" s="22" t="s">
        <v>4777</v>
      </c>
      <c r="M77" s="211" t="s">
        <v>4750</v>
      </c>
      <c r="N77" s="96"/>
      <c r="P77" s="115"/>
      <c r="Q77" s="35">
        <v>1994038</v>
      </c>
      <c r="R77" s="5" t="s">
        <v>4405</v>
      </c>
      <c r="S77" s="5">
        <f>S76-3</f>
        <v>101</v>
      </c>
      <c r="T77" s="5" t="s">
        <v>4422</v>
      </c>
      <c r="U77" s="168">
        <v>5560.3</v>
      </c>
      <c r="V77" s="99">
        <f t="shared" si="20"/>
        <v>6053.3843572602746</v>
      </c>
      <c r="W77" s="32">
        <f t="shared" si="21"/>
        <v>6174.4520444054806</v>
      </c>
      <c r="X77" s="32">
        <f t="shared" si="22"/>
        <v>6295.5197315506857</v>
      </c>
      <c r="Y77">
        <v>13000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9"/>
        <v>130</v>
      </c>
      <c r="AM77" s="117">
        <f t="shared" si="11"/>
        <v>-39000000</v>
      </c>
      <c r="AN77" s="20"/>
    </row>
    <row r="78" spans="1:40">
      <c r="D78" s="1" t="s">
        <v>321</v>
      </c>
      <c r="E78" s="1">
        <v>100000</v>
      </c>
      <c r="K78" t="s">
        <v>4815</v>
      </c>
      <c r="M78" s="122"/>
      <c r="N78" s="96"/>
      <c r="P78" s="115" t="s">
        <v>25</v>
      </c>
      <c r="Q78" s="35">
        <v>444</v>
      </c>
      <c r="R78" s="5" t="s">
        <v>4405</v>
      </c>
      <c r="S78" s="5">
        <f>S77</f>
        <v>101</v>
      </c>
      <c r="T78" s="5" t="s">
        <v>4624</v>
      </c>
      <c r="U78" s="168">
        <v>441.8</v>
      </c>
      <c r="V78" s="99">
        <f t="shared" si="20"/>
        <v>480.9785819178083</v>
      </c>
      <c r="W78" s="32">
        <f t="shared" si="21"/>
        <v>490.59815355616445</v>
      </c>
      <c r="X78" s="32">
        <f t="shared" si="22"/>
        <v>500.21772519452065</v>
      </c>
      <c r="Y78" t="s">
        <v>25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127</v>
      </c>
      <c r="AM78" s="117">
        <f t="shared" si="11"/>
        <v>-1447800000</v>
      </c>
      <c r="AN78" s="20"/>
    </row>
    <row r="79" spans="1:40">
      <c r="D79" s="1" t="s">
        <v>306</v>
      </c>
      <c r="E79" s="1">
        <v>80000</v>
      </c>
      <c r="K79" t="s">
        <v>4591</v>
      </c>
      <c r="L79" s="96"/>
      <c r="M79" s="122" t="s">
        <v>4589</v>
      </c>
      <c r="O79" t="s">
        <v>25</v>
      </c>
      <c r="P79" s="115"/>
      <c r="Q79" s="35">
        <v>1971103</v>
      </c>
      <c r="R79" s="5" t="s">
        <v>4417</v>
      </c>
      <c r="S79" s="5">
        <f>S78-1</f>
        <v>100</v>
      </c>
      <c r="T79" s="5" t="s">
        <v>4418</v>
      </c>
      <c r="U79" s="168">
        <v>196.2</v>
      </c>
      <c r="V79" s="99">
        <f t="shared" si="20"/>
        <v>213.44839890410958</v>
      </c>
      <c r="W79" s="32">
        <f t="shared" si="21"/>
        <v>217.71736688219178</v>
      </c>
      <c r="X79" s="32">
        <f t="shared" si="22"/>
        <v>221.98633486027398</v>
      </c>
      <c r="Y79" t="s">
        <v>25</v>
      </c>
      <c r="AC79" s="115"/>
      <c r="AD79" s="115"/>
      <c r="AE79" s="115"/>
      <c r="AF79"/>
      <c r="AH79" s="20">
        <v>59</v>
      </c>
      <c r="AI79" s="117" t="s">
        <v>4348</v>
      </c>
      <c r="AJ79" s="117">
        <v>-10000000</v>
      </c>
      <c r="AK79" s="20">
        <v>1</v>
      </c>
      <c r="AL79" s="99">
        <f>AL80+AK79</f>
        <v>114</v>
      </c>
      <c r="AM79" s="117">
        <f>AJ79*AL79</f>
        <v>-1140000000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96">
        <f>O54+O21+O31-O60</f>
        <v>1283528</v>
      </c>
      <c r="N80" s="113">
        <f>M80*P54</f>
        <v>238222796.79999998</v>
      </c>
      <c r="P80" s="115"/>
      <c r="Q80" s="35">
        <v>1049856</v>
      </c>
      <c r="R80" s="5" t="s">
        <v>4440</v>
      </c>
      <c r="S80" s="5">
        <f>S79-6</f>
        <v>94</v>
      </c>
      <c r="T80" s="5" t="s">
        <v>4479</v>
      </c>
      <c r="U80" s="168">
        <v>184.5</v>
      </c>
      <c r="V80" s="99">
        <f t="shared" si="20"/>
        <v>199.87061917808219</v>
      </c>
      <c r="W80" s="32">
        <f t="shared" si="21"/>
        <v>203.86803156164385</v>
      </c>
      <c r="X80" s="32">
        <f t="shared" si="22"/>
        <v>207.8654439452055</v>
      </c>
      <c r="AC80" s="115"/>
      <c r="AD80" s="115"/>
      <c r="AE80" s="115"/>
      <c r="AF80"/>
      <c r="AH80" s="20">
        <v>60</v>
      </c>
      <c r="AI80" s="117" t="s">
        <v>4349</v>
      </c>
      <c r="AJ80" s="117">
        <v>-2450000</v>
      </c>
      <c r="AK80" s="20">
        <v>5</v>
      </c>
      <c r="AL80" s="99">
        <f>AL81+AK80</f>
        <v>113</v>
      </c>
      <c r="AM80" s="117">
        <f>AJ80*AL80</f>
        <v>-276850000</v>
      </c>
      <c r="AN80" s="20"/>
    </row>
    <row r="81" spans="4:52" ht="30">
      <c r="D81" s="31" t="s">
        <v>308</v>
      </c>
      <c r="E81" s="1">
        <v>300000</v>
      </c>
      <c r="K81" s="22" t="s">
        <v>4816</v>
      </c>
      <c r="M81" t="s">
        <v>4267</v>
      </c>
      <c r="P81" s="115"/>
      <c r="Q81" s="35">
        <v>1783234</v>
      </c>
      <c r="R81" s="5" t="s">
        <v>4442</v>
      </c>
      <c r="S81" s="5">
        <f>S80-2</f>
        <v>92</v>
      </c>
      <c r="T81" s="5" t="s">
        <v>4443</v>
      </c>
      <c r="U81" s="168">
        <v>177.5</v>
      </c>
      <c r="V81" s="99">
        <f t="shared" si="20"/>
        <v>192.01512328767123</v>
      </c>
      <c r="W81" s="32">
        <f t="shared" si="21"/>
        <v>195.85542575342467</v>
      </c>
      <c r="X81" s="32">
        <f t="shared" si="22"/>
        <v>199.69572821917808</v>
      </c>
      <c r="Y81">
        <v>23000</v>
      </c>
      <c r="AD81" s="115"/>
      <c r="AE81" s="115"/>
      <c r="AF81" s="115"/>
      <c r="AH81" s="20">
        <v>61</v>
      </c>
      <c r="AI81" s="117" t="s">
        <v>4373</v>
      </c>
      <c r="AJ81" s="117">
        <v>-456081</v>
      </c>
      <c r="AK81" s="20">
        <v>1</v>
      </c>
      <c r="AL81" s="99">
        <f t="shared" si="19"/>
        <v>108</v>
      </c>
      <c r="AM81" s="117">
        <f t="shared" si="11"/>
        <v>-49256748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3" t="s">
        <v>476</v>
      </c>
      <c r="M82" t="s">
        <v>4593</v>
      </c>
      <c r="N82" t="s">
        <v>25</v>
      </c>
      <c r="P82" s="115"/>
      <c r="Q82" s="35">
        <v>1662335</v>
      </c>
      <c r="R82" s="5" t="s">
        <v>4446</v>
      </c>
      <c r="S82" s="5">
        <f>S81-5</f>
        <v>87</v>
      </c>
      <c r="T82" s="224" t="s">
        <v>4605</v>
      </c>
      <c r="U82" s="168">
        <v>190.3</v>
      </c>
      <c r="V82" s="99">
        <f t="shared" si="20"/>
        <v>205.13192986301371</v>
      </c>
      <c r="W82" s="32">
        <f t="shared" si="21"/>
        <v>209.23456846027398</v>
      </c>
      <c r="X82" s="32">
        <f t="shared" si="22"/>
        <v>213.33720705753427</v>
      </c>
      <c r="Y82">
        <v>6000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4375</v>
      </c>
      <c r="AJ82" s="117">
        <v>-500000</v>
      </c>
      <c r="AK82" s="20">
        <v>2</v>
      </c>
      <c r="AL82" s="99">
        <f>AL83+AK82</f>
        <v>107</v>
      </c>
      <c r="AM82" s="117">
        <f t="shared" si="11"/>
        <v>-53500000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P83" s="115"/>
      <c r="Q83" s="169">
        <v>499973</v>
      </c>
      <c r="R83" s="168" t="s">
        <v>4595</v>
      </c>
      <c r="S83" s="168">
        <f>S82-37</f>
        <v>50</v>
      </c>
      <c r="T83" s="73" t="s">
        <v>4596</v>
      </c>
      <c r="U83" s="168">
        <v>413</v>
      </c>
      <c r="V83" s="99">
        <f t="shared" si="20"/>
        <v>433.46669589041102</v>
      </c>
      <c r="W83" s="32">
        <f t="shared" si="21"/>
        <v>442.13602980821923</v>
      </c>
      <c r="X83" s="32">
        <f t="shared" si="22"/>
        <v>450.80536372602745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4394</v>
      </c>
      <c r="AJ83" s="117">
        <v>-6234370</v>
      </c>
      <c r="AK83" s="20">
        <v>3</v>
      </c>
      <c r="AL83" s="99">
        <f t="shared" si="19"/>
        <v>105</v>
      </c>
      <c r="AM83" s="117">
        <f t="shared" si="11"/>
        <v>-654608850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M84" t="s">
        <v>949</v>
      </c>
      <c r="N84">
        <v>6.3E-3</v>
      </c>
      <c r="P84" s="115"/>
      <c r="Q84" s="169">
        <v>11869317</v>
      </c>
      <c r="R84" s="168" t="s">
        <v>4606</v>
      </c>
      <c r="S84" s="168">
        <f>S83-2</f>
        <v>48</v>
      </c>
      <c r="T84" s="168" t="s">
        <v>4607</v>
      </c>
      <c r="U84" s="168">
        <v>395600</v>
      </c>
      <c r="V84" s="99">
        <f t="shared" si="20"/>
        <v>414597.47068493156</v>
      </c>
      <c r="W84" s="32">
        <f t="shared" si="21"/>
        <v>422889.42009863019</v>
      </c>
      <c r="X84" s="32">
        <f t="shared" si="22"/>
        <v>431181.36951232882</v>
      </c>
      <c r="Y84">
        <v>3300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4405</v>
      </c>
      <c r="AJ84" s="117">
        <v>1950957</v>
      </c>
      <c r="AK84" s="20">
        <v>4</v>
      </c>
      <c r="AL84" s="99">
        <f t="shared" si="19"/>
        <v>102</v>
      </c>
      <c r="AM84" s="117">
        <f t="shared" si="11"/>
        <v>198997614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61</v>
      </c>
      <c r="N85">
        <v>4.8999999999999998E-3</v>
      </c>
      <c r="P85" s="115"/>
      <c r="Q85" s="35">
        <v>2272487</v>
      </c>
      <c r="R85" s="5" t="s">
        <v>4616</v>
      </c>
      <c r="S85" s="5">
        <f>S84-3</f>
        <v>45</v>
      </c>
      <c r="T85" s="5" t="s">
        <v>4617</v>
      </c>
      <c r="U85" s="168">
        <v>174.9</v>
      </c>
      <c r="V85" s="99">
        <f t="shared" si="20"/>
        <v>182.89652383561648</v>
      </c>
      <c r="W85" s="32">
        <f t="shared" si="21"/>
        <v>186.5544543123288</v>
      </c>
      <c r="X85" s="32">
        <f t="shared" si="22"/>
        <v>190.21238478904115</v>
      </c>
      <c r="Y85" s="128" t="s">
        <v>25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4432</v>
      </c>
      <c r="AJ85" s="117">
        <v>600000</v>
      </c>
      <c r="AK85" s="20">
        <v>5</v>
      </c>
      <c r="AL85" s="99">
        <f t="shared" si="19"/>
        <v>98</v>
      </c>
      <c r="AM85" s="117">
        <f t="shared" si="11"/>
        <v>58800000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M86" t="s">
        <v>6</v>
      </c>
      <c r="N86">
        <f>N84+N85</f>
        <v>1.12E-2</v>
      </c>
      <c r="O86" t="s">
        <v>25</v>
      </c>
      <c r="P86" t="s">
        <v>25</v>
      </c>
      <c r="Q86" s="35">
        <v>3975257</v>
      </c>
      <c r="R86" s="5" t="s">
        <v>4622</v>
      </c>
      <c r="S86" s="5">
        <f>S85-1</f>
        <v>44</v>
      </c>
      <c r="T86" s="5" t="s">
        <v>4623</v>
      </c>
      <c r="U86" s="168">
        <v>173</v>
      </c>
      <c r="V86" s="99">
        <f t="shared" si="20"/>
        <v>180.77694246575342</v>
      </c>
      <c r="W86" s="32">
        <f t="shared" si="21"/>
        <v>184.39248131506849</v>
      </c>
      <c r="X86" s="32">
        <f t="shared" si="22"/>
        <v>188.00802016438357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4442</v>
      </c>
      <c r="AJ86" s="117">
        <v>7500000</v>
      </c>
      <c r="AK86" s="20">
        <v>2</v>
      </c>
      <c r="AL86" s="99">
        <f t="shared" si="19"/>
        <v>93</v>
      </c>
      <c r="AM86" s="117">
        <f t="shared" si="11"/>
        <v>697500000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Q87" s="35">
        <v>1031662</v>
      </c>
      <c r="R87" s="5" t="s">
        <v>4234</v>
      </c>
      <c r="S87" s="5">
        <f>S86-1</f>
        <v>43</v>
      </c>
      <c r="T87" s="5" t="s">
        <v>4626</v>
      </c>
      <c r="U87" s="168">
        <v>171.2</v>
      </c>
      <c r="V87" s="99">
        <f t="shared" si="20"/>
        <v>178.76469479452055</v>
      </c>
      <c r="W87" s="32">
        <f t="shared" si="21"/>
        <v>182.33998869041096</v>
      </c>
      <c r="X87" s="32">
        <f t="shared" si="22"/>
        <v>185.91528258630137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4447</v>
      </c>
      <c r="AJ87" s="117">
        <v>-587816</v>
      </c>
      <c r="AK87" s="20">
        <v>3</v>
      </c>
      <c r="AL87" s="99">
        <f t="shared" si="19"/>
        <v>91</v>
      </c>
      <c r="AM87" s="117">
        <f t="shared" si="11"/>
        <v>-53491256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>
        <v>2666019</v>
      </c>
      <c r="R88" s="168" t="s">
        <v>4234</v>
      </c>
      <c r="S88" s="168">
        <f>S87</f>
        <v>43</v>
      </c>
      <c r="T88" s="168" t="s">
        <v>4628</v>
      </c>
      <c r="U88" s="168">
        <v>749</v>
      </c>
      <c r="V88" s="99">
        <f t="shared" si="20"/>
        <v>782.09553972602748</v>
      </c>
      <c r="W88" s="32">
        <f t="shared" si="21"/>
        <v>797.73745052054801</v>
      </c>
      <c r="X88" s="32">
        <f t="shared" si="22"/>
        <v>813.37936131506865</v>
      </c>
      <c r="Y88" s="128" t="s">
        <v>25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4446</v>
      </c>
      <c r="AJ88" s="117">
        <v>-907489</v>
      </c>
      <c r="AK88" s="20">
        <v>0</v>
      </c>
      <c r="AL88" s="99">
        <f>AL89+AK88</f>
        <v>88</v>
      </c>
      <c r="AM88" s="117">
        <f t="shared" si="11"/>
        <v>-79859032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25</v>
      </c>
      <c r="Q89" s="35">
        <v>577500</v>
      </c>
      <c r="R89" s="5" t="s">
        <v>4234</v>
      </c>
      <c r="S89" s="5">
        <f>S88</f>
        <v>43</v>
      </c>
      <c r="T89" s="5" t="s">
        <v>4631</v>
      </c>
      <c r="U89" s="168">
        <v>175</v>
      </c>
      <c r="V89" s="99">
        <f t="shared" si="20"/>
        <v>182.73260273972605</v>
      </c>
      <c r="W89" s="32">
        <f t="shared" si="21"/>
        <v>186.38725479452057</v>
      </c>
      <c r="X89" s="32">
        <f t="shared" si="22"/>
        <v>190.0419068493151</v>
      </c>
      <c r="Y89" s="128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4446</v>
      </c>
      <c r="AJ89" s="117">
        <v>2450000</v>
      </c>
      <c r="AK89" s="20">
        <v>1</v>
      </c>
      <c r="AL89" s="99">
        <f t="shared" si="19"/>
        <v>88</v>
      </c>
      <c r="AM89" s="117">
        <f t="shared" si="11"/>
        <v>215600000</v>
      </c>
      <c r="AN89" s="20" t="s">
        <v>4485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s="195" t="s">
        <v>4542</v>
      </c>
      <c r="Q90" s="35">
        <v>12636487</v>
      </c>
      <c r="R90" s="5" t="s">
        <v>3691</v>
      </c>
      <c r="S90" s="5">
        <f>S89-2</f>
        <v>41</v>
      </c>
      <c r="T90" s="5" t="s">
        <v>4634</v>
      </c>
      <c r="U90" s="168">
        <v>172.1</v>
      </c>
      <c r="V90" s="99">
        <f t="shared" si="20"/>
        <v>179.440418630137</v>
      </c>
      <c r="W90" s="32">
        <f t="shared" si="21"/>
        <v>183.02922700273976</v>
      </c>
      <c r="X90" s="32">
        <f t="shared" si="22"/>
        <v>186.61803537534249</v>
      </c>
      <c r="Y90" s="115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4487</v>
      </c>
      <c r="AJ90" s="117">
        <v>1500000</v>
      </c>
      <c r="AK90" s="20">
        <v>1</v>
      </c>
      <c r="AL90" s="99">
        <f t="shared" si="19"/>
        <v>87</v>
      </c>
      <c r="AM90" s="117">
        <f t="shared" si="11"/>
        <v>130500000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4543</v>
      </c>
      <c r="Q91" s="169">
        <v>1210169</v>
      </c>
      <c r="R91" s="168" t="s">
        <v>4637</v>
      </c>
      <c r="S91" s="168">
        <f>S90-3</f>
        <v>38</v>
      </c>
      <c r="T91" s="168" t="s">
        <v>4638</v>
      </c>
      <c r="U91" s="168">
        <v>1204.7</v>
      </c>
      <c r="V91" s="99">
        <f t="shared" si="20"/>
        <v>1253.3104701369864</v>
      </c>
      <c r="W91" s="32">
        <f t="shared" si="21"/>
        <v>1278.3766795397262</v>
      </c>
      <c r="X91" s="32">
        <f t="shared" si="22"/>
        <v>1303.442888942466</v>
      </c>
      <c r="Y91" s="115"/>
      <c r="Z91" s="115"/>
      <c r="AA91" s="115"/>
      <c r="AE91"/>
      <c r="AG91" s="96"/>
      <c r="AH91" s="20">
        <v>71</v>
      </c>
      <c r="AI91" s="117" t="s">
        <v>4493</v>
      </c>
      <c r="AJ91" s="117">
        <v>2648000</v>
      </c>
      <c r="AK91" s="20">
        <v>1</v>
      </c>
      <c r="AL91" s="99">
        <f t="shared" si="19"/>
        <v>86</v>
      </c>
      <c r="AM91" s="117">
        <f t="shared" si="11"/>
        <v>227728000</v>
      </c>
      <c r="AN91" s="20" t="s">
        <v>4494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4544</v>
      </c>
      <c r="Q92" s="35">
        <v>12131182</v>
      </c>
      <c r="R92" s="5" t="s">
        <v>4637</v>
      </c>
      <c r="S92" s="5">
        <f>S91</f>
        <v>38</v>
      </c>
      <c r="T92" s="5" t="s">
        <v>4639</v>
      </c>
      <c r="U92" s="168">
        <v>171.8</v>
      </c>
      <c r="V92" s="99">
        <f t="shared" si="20"/>
        <v>178.7322476712329</v>
      </c>
      <c r="W92" s="32">
        <f t="shared" si="21"/>
        <v>182.30689262465756</v>
      </c>
      <c r="X92" s="32">
        <f t="shared" si="22"/>
        <v>185.88153757808223</v>
      </c>
      <c r="Y92" s="115"/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9"/>
        <v>85</v>
      </c>
      <c r="AM92" s="117">
        <f t="shared" si="11"/>
        <v>52275000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4392</v>
      </c>
      <c r="Q93" s="35">
        <v>8978273</v>
      </c>
      <c r="R93" s="5" t="s">
        <v>4643</v>
      </c>
      <c r="S93" s="5">
        <f>S92-1</f>
        <v>37</v>
      </c>
      <c r="T93" s="5" t="s">
        <v>4644</v>
      </c>
      <c r="U93" s="168">
        <v>3405.9</v>
      </c>
      <c r="V93" s="99">
        <f t="shared" si="20"/>
        <v>3540.7176526027406</v>
      </c>
      <c r="W93" s="32">
        <f t="shared" ref="W93:W136" si="23">V93*(1+$W$19/100)</f>
        <v>3611.5320056547953</v>
      </c>
      <c r="X93" s="32">
        <f t="shared" ref="X93:X136" si="24">V93*(1+$X$19/100)</f>
        <v>3682.3463587068504</v>
      </c>
      <c r="Y93" s="115"/>
      <c r="Z93" s="115"/>
      <c r="AA93" s="115"/>
      <c r="AE93"/>
      <c r="AG93" s="96"/>
      <c r="AH93" s="20">
        <v>73</v>
      </c>
      <c r="AI93" s="117" t="s">
        <v>4505</v>
      </c>
      <c r="AJ93" s="117">
        <v>14000000</v>
      </c>
      <c r="AK93" s="20">
        <v>2</v>
      </c>
      <c r="AL93" s="99">
        <f>AL94+AK93</f>
        <v>81</v>
      </c>
      <c r="AM93" s="117">
        <f t="shared" si="11"/>
        <v>1134000000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4411</v>
      </c>
      <c r="Q94" s="169">
        <v>1013762</v>
      </c>
      <c r="R94" s="168" t="s">
        <v>4643</v>
      </c>
      <c r="S94" s="168">
        <f>S93</f>
        <v>37</v>
      </c>
      <c r="T94" s="168" t="s">
        <v>4646</v>
      </c>
      <c r="U94" s="168">
        <v>217.1</v>
      </c>
      <c r="V94" s="99">
        <f t="shared" si="20"/>
        <v>225.69359123287674</v>
      </c>
      <c r="W94" s="32">
        <f t="shared" si="23"/>
        <v>230.20746305753428</v>
      </c>
      <c r="X94" s="32">
        <f t="shared" si="24"/>
        <v>234.72133488219183</v>
      </c>
      <c r="Y94" s="115"/>
      <c r="AH94" s="20">
        <v>74</v>
      </c>
      <c r="AI94" s="117" t="s">
        <v>4511</v>
      </c>
      <c r="AJ94" s="117">
        <v>1313000</v>
      </c>
      <c r="AK94" s="20">
        <v>0</v>
      </c>
      <c r="AL94" s="99">
        <f>AL95+AK94</f>
        <v>79</v>
      </c>
      <c r="AM94" s="117">
        <f t="shared" si="11"/>
        <v>103727000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4545</v>
      </c>
      <c r="Q95" s="169">
        <v>12953846</v>
      </c>
      <c r="R95" s="168" t="s">
        <v>4643</v>
      </c>
      <c r="S95" s="168">
        <f>S94</f>
        <v>37</v>
      </c>
      <c r="T95" s="168" t="s">
        <v>4772</v>
      </c>
      <c r="U95" s="168">
        <v>4500.5</v>
      </c>
      <c r="V95" s="99">
        <f t="shared" si="20"/>
        <v>4678.645819178083</v>
      </c>
      <c r="W95" s="32">
        <f t="shared" si="23"/>
        <v>4772.2187355616452</v>
      </c>
      <c r="X95" s="32">
        <f t="shared" si="24"/>
        <v>4865.7916519452065</v>
      </c>
      <c r="AH95" s="99">
        <v>75</v>
      </c>
      <c r="AI95" s="113" t="s">
        <v>4511</v>
      </c>
      <c r="AJ95" s="113">
        <v>2269000</v>
      </c>
      <c r="AK95" s="99">
        <v>1</v>
      </c>
      <c r="AL95" s="99">
        <f t="shared" ref="AL95:AL120" si="25">AL96+AK95</f>
        <v>79</v>
      </c>
      <c r="AM95" s="117">
        <f t="shared" si="11"/>
        <v>179251000</v>
      </c>
      <c r="AN95" s="99"/>
    </row>
    <row r="96" spans="4:52">
      <c r="D96" s="32" t="s">
        <v>314</v>
      </c>
      <c r="E96" s="1">
        <v>140000</v>
      </c>
      <c r="K96" t="s">
        <v>25</v>
      </c>
      <c r="M96" t="s">
        <v>4396</v>
      </c>
      <c r="Q96" s="35">
        <v>4068640</v>
      </c>
      <c r="R96" s="5" t="s">
        <v>4650</v>
      </c>
      <c r="S96" s="5">
        <f>S95-1</f>
        <v>36</v>
      </c>
      <c r="T96" s="5" t="s">
        <v>4651</v>
      </c>
      <c r="U96" s="168">
        <v>3322.3</v>
      </c>
      <c r="V96" s="99">
        <f t="shared" si="20"/>
        <v>3451.2598531506851</v>
      </c>
      <c r="W96" s="32">
        <f t="shared" si="23"/>
        <v>3520.2850502136989</v>
      </c>
      <c r="X96" s="32">
        <f t="shared" si="24"/>
        <v>3589.3102472767127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78</v>
      </c>
      <c r="AM96" s="117">
        <f t="shared" si="11"/>
        <v>58500000</v>
      </c>
      <c r="AN96" s="99"/>
    </row>
    <row r="97" spans="4:47">
      <c r="D97" s="2" t="s">
        <v>478</v>
      </c>
      <c r="E97" s="3">
        <v>1083333</v>
      </c>
      <c r="M97" t="s">
        <v>4546</v>
      </c>
      <c r="Q97" s="35">
        <v>12656982</v>
      </c>
      <c r="R97" s="5" t="s">
        <v>4650</v>
      </c>
      <c r="S97" s="5">
        <f>S96</f>
        <v>36</v>
      </c>
      <c r="T97" s="5" t="s">
        <v>4652</v>
      </c>
      <c r="U97" s="168">
        <v>5249.9</v>
      </c>
      <c r="V97" s="99">
        <f t="shared" si="20"/>
        <v>5453.6824197260275</v>
      </c>
      <c r="W97" s="32">
        <f t="shared" si="23"/>
        <v>5562.7560681205478</v>
      </c>
      <c r="X97" s="32">
        <f t="shared" si="24"/>
        <v>5671.8297165150689</v>
      </c>
      <c r="AH97" s="99">
        <v>77</v>
      </c>
      <c r="AI97" s="113" t="s">
        <v>4519</v>
      </c>
      <c r="AJ97" s="113">
        <v>1900000</v>
      </c>
      <c r="AK97" s="99">
        <v>3</v>
      </c>
      <c r="AL97" s="99">
        <f t="shared" si="25"/>
        <v>74</v>
      </c>
      <c r="AM97" s="117">
        <f t="shared" si="11"/>
        <v>140600000</v>
      </c>
      <c r="AN97" s="99"/>
    </row>
    <row r="98" spans="4:47">
      <c r="D98" s="2"/>
      <c r="E98" s="3"/>
      <c r="H98" s="96"/>
      <c r="M98" t="s">
        <v>4547</v>
      </c>
      <c r="P98" s="115"/>
      <c r="Q98" s="169">
        <v>100905</v>
      </c>
      <c r="R98" s="168" t="s">
        <v>4653</v>
      </c>
      <c r="S98" s="168">
        <f>S97-1</f>
        <v>35</v>
      </c>
      <c r="T98" s="168" t="s">
        <v>4659</v>
      </c>
      <c r="U98" s="168">
        <v>372</v>
      </c>
      <c r="V98" s="99">
        <f t="shared" si="20"/>
        <v>386.1543452054795</v>
      </c>
      <c r="W98" s="32">
        <f t="shared" si="23"/>
        <v>393.87743210958911</v>
      </c>
      <c r="X98" s="32">
        <f t="shared" si="24"/>
        <v>401.60051901369872</v>
      </c>
      <c r="Y98" t="s">
        <v>25</v>
      </c>
      <c r="AH98" s="99">
        <v>78</v>
      </c>
      <c r="AI98" s="113" t="s">
        <v>4532</v>
      </c>
      <c r="AJ98" s="113">
        <v>6400000</v>
      </c>
      <c r="AK98" s="99">
        <v>1</v>
      </c>
      <c r="AL98" s="99">
        <f t="shared" si="25"/>
        <v>71</v>
      </c>
      <c r="AM98" s="117">
        <f t="shared" si="11"/>
        <v>454400000</v>
      </c>
      <c r="AN98" s="99"/>
    </row>
    <row r="99" spans="4:47">
      <c r="D99" s="2"/>
      <c r="E99" s="3"/>
      <c r="K99" s="96"/>
      <c r="L99" s="96"/>
      <c r="M99" s="96"/>
      <c r="N99" s="96"/>
      <c r="P99" s="128"/>
      <c r="Q99" s="35">
        <v>48637534</v>
      </c>
      <c r="R99" s="5" t="s">
        <v>4653</v>
      </c>
      <c r="S99" s="5">
        <f>S98</f>
        <v>35</v>
      </c>
      <c r="T99" s="5" t="s">
        <v>4657</v>
      </c>
      <c r="U99" s="168">
        <v>5330</v>
      </c>
      <c r="V99" s="99">
        <f t="shared" si="20"/>
        <v>5532.8028493150696</v>
      </c>
      <c r="W99" s="32">
        <f t="shared" si="23"/>
        <v>5643.4589063013709</v>
      </c>
      <c r="X99" s="32">
        <f t="shared" si="24"/>
        <v>5754.1149632876723</v>
      </c>
      <c r="AH99" s="99">
        <v>79</v>
      </c>
      <c r="AI99" s="113" t="s">
        <v>4530</v>
      </c>
      <c r="AJ99" s="113">
        <v>5000</v>
      </c>
      <c r="AK99" s="99">
        <v>5</v>
      </c>
      <c r="AL99" s="99">
        <f t="shared" si="25"/>
        <v>70</v>
      </c>
      <c r="AM99" s="117">
        <f t="shared" si="11"/>
        <v>350000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P100" s="128"/>
      <c r="Q100" s="35">
        <v>40048573</v>
      </c>
      <c r="R100" s="5" t="s">
        <v>4653</v>
      </c>
      <c r="S100" s="5">
        <f>S99</f>
        <v>35</v>
      </c>
      <c r="T100" s="5" t="s">
        <v>4658</v>
      </c>
      <c r="U100" s="168">
        <v>498.9</v>
      </c>
      <c r="V100" s="99">
        <f t="shared" si="20"/>
        <v>517.88280328767132</v>
      </c>
      <c r="W100" s="32">
        <f t="shared" si="23"/>
        <v>528.24045935342474</v>
      </c>
      <c r="X100" s="32">
        <f t="shared" si="24"/>
        <v>538.59811541917816</v>
      </c>
      <c r="AH100" s="99">
        <v>80</v>
      </c>
      <c r="AI100" s="113" t="s">
        <v>4563</v>
      </c>
      <c r="AJ100" s="113">
        <v>-1750148</v>
      </c>
      <c r="AK100" s="99">
        <v>1</v>
      </c>
      <c r="AL100" s="99">
        <f t="shared" si="25"/>
        <v>65</v>
      </c>
      <c r="AM100" s="117">
        <f t="shared" si="11"/>
        <v>-113759620</v>
      </c>
      <c r="AN100" s="99"/>
    </row>
    <row r="101" spans="4:47">
      <c r="D101" s="2" t="s">
        <v>328</v>
      </c>
      <c r="E101" s="3">
        <f>E100/30</f>
        <v>112777.76666666666</v>
      </c>
      <c r="P101" s="115"/>
      <c r="Q101" s="169">
        <v>1000495</v>
      </c>
      <c r="R101" s="168" t="s">
        <v>4669</v>
      </c>
      <c r="S101" s="168">
        <f>S100-1</f>
        <v>34</v>
      </c>
      <c r="T101" s="168" t="s">
        <v>4741</v>
      </c>
      <c r="U101" s="168">
        <v>724.8</v>
      </c>
      <c r="V101" s="99">
        <f t="shared" si="20"/>
        <v>751.82213260273966</v>
      </c>
      <c r="W101" s="32">
        <f t="shared" si="23"/>
        <v>766.85857525479446</v>
      </c>
      <c r="X101" s="32">
        <f t="shared" si="24"/>
        <v>781.89501790684926</v>
      </c>
      <c r="Y101" t="s">
        <v>25</v>
      </c>
      <c r="AH101" s="99">
        <v>81</v>
      </c>
      <c r="AI101" s="113" t="s">
        <v>4566</v>
      </c>
      <c r="AJ101" s="113">
        <v>400000</v>
      </c>
      <c r="AK101" s="99">
        <v>0</v>
      </c>
      <c r="AL101" s="99">
        <f t="shared" si="25"/>
        <v>64</v>
      </c>
      <c r="AM101" s="117">
        <f t="shared" si="11"/>
        <v>25600000</v>
      </c>
      <c r="AN101" s="99"/>
    </row>
    <row r="102" spans="4:47">
      <c r="F102" s="99" t="s">
        <v>4740</v>
      </c>
      <c r="G102" s="99" t="s">
        <v>941</v>
      </c>
      <c r="H102" s="99" t="s">
        <v>4717</v>
      </c>
      <c r="I102" s="99" t="s">
        <v>4716</v>
      </c>
      <c r="J102" s="32" t="s">
        <v>4548</v>
      </c>
      <c r="K102" s="168" t="s">
        <v>4702</v>
      </c>
      <c r="L102" s="32" t="s">
        <v>4704</v>
      </c>
      <c r="M102" s="32" t="s">
        <v>4672</v>
      </c>
      <c r="N102" s="168" t="s">
        <v>4673</v>
      </c>
      <c r="Q102" s="35">
        <v>37856769</v>
      </c>
      <c r="R102" s="5" t="s">
        <v>4669</v>
      </c>
      <c r="S102" s="5">
        <f>S101</f>
        <v>34</v>
      </c>
      <c r="T102" s="5" t="s">
        <v>4671</v>
      </c>
      <c r="U102" s="168">
        <v>5393.6</v>
      </c>
      <c r="V102" s="99">
        <f t="shared" ref="V102:V132" si="26">U102*(1+$N$86+$Q$15*S102/36500)</f>
        <v>5594.6852295890412</v>
      </c>
      <c r="W102" s="32">
        <f t="shared" si="23"/>
        <v>5706.5789341808222</v>
      </c>
      <c r="X102" s="32">
        <f t="shared" si="24"/>
        <v>5818.4726387726032</v>
      </c>
      <c r="AH102" s="99">
        <v>82</v>
      </c>
      <c r="AI102" s="113" t="s">
        <v>4566</v>
      </c>
      <c r="AJ102" s="113">
        <v>-2105421</v>
      </c>
      <c r="AK102" s="99">
        <v>1</v>
      </c>
      <c r="AL102" s="99">
        <f t="shared" si="25"/>
        <v>64</v>
      </c>
      <c r="AM102" s="117">
        <f t="shared" si="11"/>
        <v>-134746944</v>
      </c>
      <c r="AN102" s="99"/>
      <c r="AO102" t="s">
        <v>25</v>
      </c>
    </row>
    <row r="103" spans="4:47">
      <c r="F103" s="184">
        <f t="shared" ref="F103:F108" si="27">$L$112/G103</f>
        <v>25700.431034482761</v>
      </c>
      <c r="G103" s="184">
        <f>P54</f>
        <v>185.6</v>
      </c>
      <c r="H103" s="184" t="s">
        <v>4721</v>
      </c>
      <c r="I103" s="184" t="s">
        <v>4720</v>
      </c>
      <c r="J103" s="220" t="s">
        <v>4243</v>
      </c>
      <c r="K103" s="201">
        <v>60</v>
      </c>
      <c r="L103" s="221">
        <f t="shared" ref="L103:L109" si="28">K103*$L$112</f>
        <v>286200000</v>
      </c>
      <c r="M103" s="221">
        <f>N21+N31+N54</f>
        <v>253585465.59999999</v>
      </c>
      <c r="N103" s="185">
        <f t="shared" ref="N103:N109" si="29">L103-M103</f>
        <v>32614534.400000006</v>
      </c>
      <c r="Q103" s="35">
        <v>155151</v>
      </c>
      <c r="R103" s="5" t="s">
        <v>4680</v>
      </c>
      <c r="S103" s="5">
        <f>S102-3</f>
        <v>31</v>
      </c>
      <c r="T103" s="5" t="s">
        <v>4682</v>
      </c>
      <c r="U103" s="168">
        <v>5325.9</v>
      </c>
      <c r="V103" s="99">
        <f t="shared" si="26"/>
        <v>5512.2043594520546</v>
      </c>
      <c r="W103" s="32">
        <f t="shared" si="23"/>
        <v>5622.4484466410959</v>
      </c>
      <c r="X103" s="32">
        <f t="shared" si="24"/>
        <v>5732.6925338301371</v>
      </c>
      <c r="AH103" s="99">
        <v>83</v>
      </c>
      <c r="AI103" s="113" t="s">
        <v>4571</v>
      </c>
      <c r="AJ103" s="113">
        <v>-5527618</v>
      </c>
      <c r="AK103" s="99">
        <v>0</v>
      </c>
      <c r="AL103" s="99">
        <f t="shared" si="25"/>
        <v>63</v>
      </c>
      <c r="AM103" s="117">
        <f t="shared" si="11"/>
        <v>-348239934</v>
      </c>
      <c r="AN103" s="99"/>
    </row>
    <row r="104" spans="4:47">
      <c r="F104" s="99">
        <f t="shared" si="27"/>
        <v>904.55691881743871</v>
      </c>
      <c r="G104" s="99">
        <f>P47</f>
        <v>5273.3</v>
      </c>
      <c r="H104" s="99" t="s">
        <v>4723</v>
      </c>
      <c r="I104" s="99" t="s">
        <v>4722</v>
      </c>
      <c r="J104" s="32" t="s">
        <v>4396</v>
      </c>
      <c r="K104" s="168">
        <v>30</v>
      </c>
      <c r="L104" s="1">
        <f t="shared" si="28"/>
        <v>143100000</v>
      </c>
      <c r="M104" s="1">
        <f>N25+N47+N28</f>
        <v>158784336.30000001</v>
      </c>
      <c r="N104" s="113">
        <f t="shared" si="29"/>
        <v>-15684336.300000012</v>
      </c>
      <c r="Q104" s="169">
        <v>109726</v>
      </c>
      <c r="R104" s="168" t="s">
        <v>4680</v>
      </c>
      <c r="S104" s="168">
        <f>S103</f>
        <v>31</v>
      </c>
      <c r="T104" s="168" t="s">
        <v>4683</v>
      </c>
      <c r="U104" s="168">
        <v>3900.7</v>
      </c>
      <c r="V104" s="99">
        <f t="shared" si="26"/>
        <v>4037.1496920547947</v>
      </c>
      <c r="W104" s="32">
        <f t="shared" si="23"/>
        <v>4117.8926858958903</v>
      </c>
      <c r="X104" s="32">
        <f t="shared" si="24"/>
        <v>4198.6356797369863</v>
      </c>
      <c r="AH104" s="99">
        <v>84</v>
      </c>
      <c r="AI104" s="113" t="s">
        <v>4571</v>
      </c>
      <c r="AJ104" s="113">
        <v>3900000</v>
      </c>
      <c r="AK104" s="99">
        <v>3</v>
      </c>
      <c r="AL104" s="99">
        <f t="shared" si="25"/>
        <v>63</v>
      </c>
      <c r="AM104" s="117">
        <f t="shared" si="11"/>
        <v>245700000</v>
      </c>
      <c r="AN104" s="99"/>
    </row>
    <row r="105" spans="4:47">
      <c r="F105" s="184">
        <f t="shared" si="27"/>
        <v>1436.4873817984701</v>
      </c>
      <c r="G105" s="184">
        <f>P44</f>
        <v>3320.6</v>
      </c>
      <c r="H105" s="184" t="s">
        <v>3881</v>
      </c>
      <c r="I105" s="184" t="s">
        <v>4724</v>
      </c>
      <c r="J105" s="220" t="s">
        <v>4392</v>
      </c>
      <c r="K105" s="201">
        <v>30</v>
      </c>
      <c r="L105" s="221">
        <f t="shared" si="28"/>
        <v>143100000</v>
      </c>
      <c r="M105" s="221">
        <f>N44+N29+N22</f>
        <v>153318743.19999999</v>
      </c>
      <c r="N105" s="185">
        <f t="shared" si="29"/>
        <v>-10218743.199999988</v>
      </c>
      <c r="Q105" s="35">
        <v>8938737</v>
      </c>
      <c r="R105" s="5" t="s">
        <v>4686</v>
      </c>
      <c r="S105" s="5">
        <f>S104-1</f>
        <v>30</v>
      </c>
      <c r="T105" s="5" t="s">
        <v>4688</v>
      </c>
      <c r="U105" s="168">
        <v>5179.5</v>
      </c>
      <c r="V105" s="99">
        <f t="shared" si="26"/>
        <v>5356.7098520547952</v>
      </c>
      <c r="W105" s="32">
        <f t="shared" si="23"/>
        <v>5463.844049095891</v>
      </c>
      <c r="X105" s="32">
        <f t="shared" si="24"/>
        <v>5570.9782461369869</v>
      </c>
      <c r="AH105" s="99">
        <v>85</v>
      </c>
      <c r="AI105" s="113" t="s">
        <v>4572</v>
      </c>
      <c r="AJ105" s="113">
        <v>-3969754</v>
      </c>
      <c r="AK105" s="99">
        <v>1</v>
      </c>
      <c r="AL105" s="99">
        <f t="shared" si="25"/>
        <v>60</v>
      </c>
      <c r="AM105" s="117">
        <f t="shared" si="11"/>
        <v>-238185240</v>
      </c>
      <c r="AN105" s="99"/>
    </row>
    <row r="106" spans="4:47">
      <c r="F106" s="99">
        <f t="shared" si="27"/>
        <v>8977.9785431959353</v>
      </c>
      <c r="G106" s="99">
        <f>P48</f>
        <v>531.29999999999995</v>
      </c>
      <c r="H106" s="99" t="s">
        <v>4719</v>
      </c>
      <c r="I106" s="99" t="s">
        <v>4718</v>
      </c>
      <c r="J106" s="32" t="s">
        <v>4411</v>
      </c>
      <c r="K106" s="168">
        <v>30</v>
      </c>
      <c r="L106" s="1">
        <f t="shared" si="28"/>
        <v>143100000</v>
      </c>
      <c r="M106" s="1">
        <f>N48+N23+N30</f>
        <v>136246572</v>
      </c>
      <c r="N106" s="113">
        <f t="shared" si="29"/>
        <v>6853428</v>
      </c>
      <c r="Q106" s="35">
        <v>2595417</v>
      </c>
      <c r="R106" s="5" t="s">
        <v>4696</v>
      </c>
      <c r="S106" s="5">
        <f>S105-1</f>
        <v>29</v>
      </c>
      <c r="T106" s="5" t="s">
        <v>4697</v>
      </c>
      <c r="U106" s="168">
        <v>4803</v>
      </c>
      <c r="V106" s="99">
        <f t="shared" si="26"/>
        <v>4963.6439013698628</v>
      </c>
      <c r="W106" s="32">
        <f t="shared" si="23"/>
        <v>5062.9167793972601</v>
      </c>
      <c r="X106" s="32">
        <f t="shared" si="24"/>
        <v>5162.1896574246575</v>
      </c>
      <c r="Y106" t="s">
        <v>25</v>
      </c>
      <c r="AH106" s="99">
        <v>86</v>
      </c>
      <c r="AI106" s="113" t="s">
        <v>4584</v>
      </c>
      <c r="AJ106" s="113">
        <v>-25574455</v>
      </c>
      <c r="AK106" s="99">
        <v>0</v>
      </c>
      <c r="AL106" s="99">
        <f t="shared" si="25"/>
        <v>59</v>
      </c>
      <c r="AM106" s="117">
        <f t="shared" si="11"/>
        <v>-1508892845</v>
      </c>
      <c r="AN106" s="99"/>
      <c r="AP106" t="s">
        <v>25</v>
      </c>
    </row>
    <row r="107" spans="4:47">
      <c r="F107" s="184">
        <f t="shared" si="27"/>
        <v>986.94419730607672</v>
      </c>
      <c r="G107" s="184">
        <f>P50</f>
        <v>4833.1000000000004</v>
      </c>
      <c r="H107" s="184" t="s">
        <v>4725</v>
      </c>
      <c r="I107" s="184" t="s">
        <v>4724</v>
      </c>
      <c r="J107" s="220" t="s">
        <v>4544</v>
      </c>
      <c r="K107" s="201">
        <v>19</v>
      </c>
      <c r="L107" s="221">
        <f t="shared" si="28"/>
        <v>90630000</v>
      </c>
      <c r="M107" s="221">
        <f>N50</f>
        <v>14078820.300000001</v>
      </c>
      <c r="N107" s="185">
        <f t="shared" si="29"/>
        <v>76551179.700000003</v>
      </c>
      <c r="Q107" s="169">
        <v>2505816</v>
      </c>
      <c r="R107" s="168" t="s">
        <v>4696</v>
      </c>
      <c r="S107" s="168">
        <f>S106</f>
        <v>29</v>
      </c>
      <c r="T107" s="168" t="s">
        <v>4698</v>
      </c>
      <c r="U107" s="168">
        <v>3723</v>
      </c>
      <c r="V107" s="99">
        <f t="shared" si="26"/>
        <v>3847.5216</v>
      </c>
      <c r="W107" s="32">
        <f t="shared" si="23"/>
        <v>3924.4720320000001</v>
      </c>
      <c r="X107" s="32">
        <f t="shared" si="24"/>
        <v>4001.4224640000002</v>
      </c>
      <c r="AH107" s="99">
        <v>87</v>
      </c>
      <c r="AI107" s="113" t="s">
        <v>4584</v>
      </c>
      <c r="AJ107" s="113">
        <v>4000000</v>
      </c>
      <c r="AK107" s="99">
        <v>1</v>
      </c>
      <c r="AL107" s="99">
        <f t="shared" si="25"/>
        <v>59</v>
      </c>
      <c r="AM107" s="117">
        <f t="shared" si="11"/>
        <v>236000000</v>
      </c>
      <c r="AN107" s="99"/>
    </row>
    <row r="108" spans="4:47">
      <c r="F108" s="99">
        <f t="shared" si="27"/>
        <v>1163.3295124746969</v>
      </c>
      <c r="G108" s="99">
        <f>P49</f>
        <v>4100.3</v>
      </c>
      <c r="H108" s="99" t="s">
        <v>4726</v>
      </c>
      <c r="I108" s="99" t="s">
        <v>4727</v>
      </c>
      <c r="J108" s="32" t="s">
        <v>4545</v>
      </c>
      <c r="K108" s="168">
        <v>19</v>
      </c>
      <c r="L108" s="1">
        <f t="shared" si="28"/>
        <v>90630000</v>
      </c>
      <c r="M108" s="1">
        <f>N49+N24</f>
        <v>86110400.300000012</v>
      </c>
      <c r="N108" s="113">
        <f t="shared" si="29"/>
        <v>4519599.6999999881</v>
      </c>
      <c r="Q108" s="169">
        <v>183283</v>
      </c>
      <c r="R108" s="215" t="s">
        <v>4700</v>
      </c>
      <c r="S108" s="215">
        <f>S107-1</f>
        <v>28</v>
      </c>
      <c r="T108" s="215" t="s">
        <v>4714</v>
      </c>
      <c r="U108" s="215">
        <v>347.5</v>
      </c>
      <c r="V108" s="99">
        <f t="shared" si="26"/>
        <v>358.85610958904113</v>
      </c>
      <c r="W108" s="32">
        <f t="shared" si="23"/>
        <v>366.03323178082195</v>
      </c>
      <c r="X108" s="32">
        <f t="shared" si="24"/>
        <v>373.21035397260277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58</v>
      </c>
      <c r="AM108" s="117">
        <f t="shared" si="11"/>
        <v>-290000000</v>
      </c>
      <c r="AN108" s="99"/>
    </row>
    <row r="109" spans="4:47">
      <c r="F109" s="184"/>
      <c r="G109" s="184"/>
      <c r="H109" s="184"/>
      <c r="I109" s="184"/>
      <c r="J109" s="220" t="s">
        <v>4685</v>
      </c>
      <c r="K109" s="201">
        <v>5</v>
      </c>
      <c r="L109" s="221">
        <f t="shared" si="28"/>
        <v>23850000</v>
      </c>
      <c r="M109" s="221">
        <f>N45+N46+N51+N53+N52</f>
        <v>6548288</v>
      </c>
      <c r="N109" s="185">
        <f t="shared" si="29"/>
        <v>17301712</v>
      </c>
      <c r="Q109" s="169">
        <v>177438</v>
      </c>
      <c r="R109" s="215" t="s">
        <v>4700</v>
      </c>
      <c r="S109" s="215">
        <f t="shared" ref="S109:S113" si="30">S108</f>
        <v>28</v>
      </c>
      <c r="T109" s="215" t="s">
        <v>4709</v>
      </c>
      <c r="U109" s="215">
        <v>207.3</v>
      </c>
      <c r="V109" s="99">
        <f t="shared" si="26"/>
        <v>214.07445041095895</v>
      </c>
      <c r="W109" s="32">
        <f t="shared" si="23"/>
        <v>218.35593941917813</v>
      </c>
      <c r="X109" s="32">
        <f t="shared" si="24"/>
        <v>222.63742842739731</v>
      </c>
      <c r="AD109" s="96"/>
      <c r="AE109"/>
      <c r="AF109"/>
      <c r="AH109" s="99">
        <v>89</v>
      </c>
      <c r="AI109" s="113" t="s">
        <v>4590</v>
      </c>
      <c r="AJ109" s="113">
        <v>10000000</v>
      </c>
      <c r="AK109" s="99">
        <v>4</v>
      </c>
      <c r="AL109" s="99">
        <f t="shared" si="25"/>
        <v>56</v>
      </c>
      <c r="AM109" s="117">
        <f t="shared" si="11"/>
        <v>560000000</v>
      </c>
      <c r="AN109" s="99"/>
    </row>
    <row r="110" spans="4:47">
      <c r="F110" s="184"/>
      <c r="G110" s="184"/>
      <c r="H110" s="184"/>
      <c r="I110" s="184"/>
      <c r="J110" s="220" t="s">
        <v>4846</v>
      </c>
      <c r="K110" s="201"/>
      <c r="L110" s="221"/>
      <c r="M110" s="221"/>
      <c r="N110" s="185">
        <v>50000000</v>
      </c>
      <c r="Q110" s="35">
        <v>559461</v>
      </c>
      <c r="R110" s="5" t="s">
        <v>4700</v>
      </c>
      <c r="S110" s="5">
        <f t="shared" si="30"/>
        <v>28</v>
      </c>
      <c r="T110" s="5" t="s">
        <v>4710</v>
      </c>
      <c r="U110" s="215">
        <v>508.1</v>
      </c>
      <c r="V110" s="99">
        <f t="shared" si="26"/>
        <v>524.70442958904118</v>
      </c>
      <c r="W110" s="32">
        <f t="shared" si="23"/>
        <v>535.19851818082202</v>
      </c>
      <c r="X110" s="32">
        <f t="shared" si="24"/>
        <v>545.69260677260286</v>
      </c>
      <c r="AH110" s="99">
        <v>90</v>
      </c>
      <c r="AI110" s="113" t="s">
        <v>4592</v>
      </c>
      <c r="AJ110" s="113">
        <v>-5241937</v>
      </c>
      <c r="AK110" s="99">
        <v>0</v>
      </c>
      <c r="AL110" s="99">
        <f t="shared" si="25"/>
        <v>52</v>
      </c>
      <c r="AM110" s="117">
        <f t="shared" si="11"/>
        <v>-272580724</v>
      </c>
      <c r="AN110" s="99"/>
    </row>
    <row r="111" spans="4:47">
      <c r="F111" s="99"/>
      <c r="G111" s="99"/>
      <c r="H111" s="99"/>
      <c r="I111" s="99"/>
      <c r="J111" s="168" t="s">
        <v>4705</v>
      </c>
      <c r="K111" s="168">
        <f>SUM(K103:K109)</f>
        <v>193</v>
      </c>
      <c r="L111" s="168"/>
      <c r="M111" s="168"/>
      <c r="N111" s="169"/>
      <c r="Q111" s="35">
        <v>169080</v>
      </c>
      <c r="R111" s="5" t="s">
        <v>4700</v>
      </c>
      <c r="S111" s="5">
        <f t="shared" si="30"/>
        <v>28</v>
      </c>
      <c r="T111" s="5" t="s">
        <v>4711</v>
      </c>
      <c r="U111" s="215">
        <v>168.3</v>
      </c>
      <c r="V111" s="99">
        <f t="shared" si="26"/>
        <v>173.79995178082194</v>
      </c>
      <c r="W111" s="32">
        <f t="shared" si="23"/>
        <v>177.27595081643838</v>
      </c>
      <c r="X111" s="32">
        <f t="shared" si="24"/>
        <v>180.75194985205482</v>
      </c>
      <c r="AH111" s="99">
        <v>91</v>
      </c>
      <c r="AI111" s="113" t="s">
        <v>4592</v>
      </c>
      <c r="AJ111" s="113">
        <v>21900000</v>
      </c>
      <c r="AK111" s="99">
        <v>2</v>
      </c>
      <c r="AL111" s="99">
        <f t="shared" si="25"/>
        <v>52</v>
      </c>
      <c r="AM111" s="117">
        <f t="shared" si="11"/>
        <v>1138800000</v>
      </c>
      <c r="AN111" s="99"/>
      <c r="AP111" t="s">
        <v>25</v>
      </c>
      <c r="AR111" s="96"/>
      <c r="AS111" s="96"/>
      <c r="AT111"/>
      <c r="AU111"/>
    </row>
    <row r="112" spans="4:47">
      <c r="F112" s="184"/>
      <c r="G112" s="184"/>
      <c r="H112" s="184" t="s">
        <v>25</v>
      </c>
      <c r="I112" s="184"/>
      <c r="J112" s="201"/>
      <c r="K112" s="201">
        <v>24</v>
      </c>
      <c r="L112" s="39">
        <f>10*P55</f>
        <v>4770000</v>
      </c>
      <c r="M112" s="221">
        <f>K112*L112</f>
        <v>114480000</v>
      </c>
      <c r="N112" s="185">
        <f>SUM(N103:N110)-M112</f>
        <v>47457374.300000012</v>
      </c>
      <c r="Q112" s="35">
        <v>9376000</v>
      </c>
      <c r="R112" s="5" t="s">
        <v>4700</v>
      </c>
      <c r="S112" s="5">
        <f>S111</f>
        <v>28</v>
      </c>
      <c r="T112" s="5" t="s">
        <v>4712</v>
      </c>
      <c r="U112" s="215">
        <v>3184.1</v>
      </c>
      <c r="V112" s="99">
        <f t="shared" si="26"/>
        <v>3288.1546432876712</v>
      </c>
      <c r="W112" s="32">
        <f t="shared" si="23"/>
        <v>3353.9177361534248</v>
      </c>
      <c r="X112" s="32">
        <f t="shared" si="24"/>
        <v>3419.680829019178</v>
      </c>
      <c r="AH112" s="99">
        <v>92</v>
      </c>
      <c r="AI112" s="113" t="s">
        <v>4602</v>
      </c>
      <c r="AJ112" s="113">
        <v>-15000000</v>
      </c>
      <c r="AK112" s="99">
        <v>0</v>
      </c>
      <c r="AL112" s="99">
        <f t="shared" si="25"/>
        <v>50</v>
      </c>
      <c r="AM112" s="117">
        <f t="shared" si="11"/>
        <v>-750000000</v>
      </c>
      <c r="AN112" s="99"/>
      <c r="AO112" t="s">
        <v>25</v>
      </c>
    </row>
    <row r="113" spans="6:43" ht="30">
      <c r="F113" s="99"/>
      <c r="G113" s="99"/>
      <c r="H113" s="99"/>
      <c r="I113" s="99"/>
      <c r="J113" s="168"/>
      <c r="K113" s="216" t="s">
        <v>4838</v>
      </c>
      <c r="L113" s="168" t="s">
        <v>4253</v>
      </c>
      <c r="M113" s="168" t="s">
        <v>4694</v>
      </c>
      <c r="N113" s="168" t="s">
        <v>4695</v>
      </c>
      <c r="Q113" s="169">
        <v>128675</v>
      </c>
      <c r="R113" s="215" t="s">
        <v>4700</v>
      </c>
      <c r="S113" s="215">
        <f t="shared" si="30"/>
        <v>28</v>
      </c>
      <c r="T113" s="215" t="s">
        <v>4713</v>
      </c>
      <c r="U113" s="215">
        <v>699.9</v>
      </c>
      <c r="V113" s="99">
        <f t="shared" si="26"/>
        <v>722.77234849315073</v>
      </c>
      <c r="W113" s="32">
        <f t="shared" si="23"/>
        <v>737.22779546301376</v>
      </c>
      <c r="X113" s="32">
        <f t="shared" si="24"/>
        <v>751.6832424328768</v>
      </c>
      <c r="Y113" t="s">
        <v>25</v>
      </c>
      <c r="AH113" s="99">
        <v>93</v>
      </c>
      <c r="AI113" s="113" t="s">
        <v>4602</v>
      </c>
      <c r="AJ113" s="113">
        <v>3000000</v>
      </c>
      <c r="AK113" s="99">
        <v>1</v>
      </c>
      <c r="AL113" s="99">
        <f t="shared" si="25"/>
        <v>50</v>
      </c>
      <c r="AM113" s="117">
        <f t="shared" si="11"/>
        <v>150000000</v>
      </c>
      <c r="AN113" s="99"/>
    </row>
    <row r="114" spans="6:43" ht="30">
      <c r="F114" s="184"/>
      <c r="G114" s="184"/>
      <c r="H114" s="184"/>
      <c r="I114" s="184"/>
      <c r="J114" s="236" t="s">
        <v>4703</v>
      </c>
      <c r="K114" s="201"/>
      <c r="L114" s="201"/>
      <c r="M114" s="201"/>
      <c r="N114" s="201"/>
      <c r="Q114" s="35">
        <v>13100555</v>
      </c>
      <c r="R114" s="5" t="s">
        <v>4728</v>
      </c>
      <c r="S114" s="5">
        <f>S113-1</f>
        <v>27</v>
      </c>
      <c r="T114" s="5" t="s">
        <v>4729</v>
      </c>
      <c r="U114" s="215">
        <v>3180.5</v>
      </c>
      <c r="V114" s="99">
        <f t="shared" si="26"/>
        <v>3281.9971616438361</v>
      </c>
      <c r="W114" s="32">
        <f t="shared" si="23"/>
        <v>3347.6371048767128</v>
      </c>
      <c r="X114" s="32">
        <f t="shared" si="24"/>
        <v>3413.2770481095895</v>
      </c>
      <c r="AH114" s="99">
        <v>94</v>
      </c>
      <c r="AI114" s="113" t="s">
        <v>4606</v>
      </c>
      <c r="AJ114" s="113">
        <v>-2103736</v>
      </c>
      <c r="AK114" s="99">
        <v>0</v>
      </c>
      <c r="AL114" s="99">
        <f t="shared" si="25"/>
        <v>49</v>
      </c>
      <c r="AM114" s="117">
        <f t="shared" si="11"/>
        <v>-103083064</v>
      </c>
      <c r="AN114" s="99"/>
    </row>
    <row r="115" spans="6:43">
      <c r="M115" t="s">
        <v>25</v>
      </c>
      <c r="Q115" s="35">
        <v>622942</v>
      </c>
      <c r="R115" s="5" t="s">
        <v>4728</v>
      </c>
      <c r="S115" s="5">
        <f>S114</f>
        <v>27</v>
      </c>
      <c r="T115" s="5" t="s">
        <v>4730</v>
      </c>
      <c r="U115" s="215">
        <v>503.3</v>
      </c>
      <c r="V115" s="99">
        <f t="shared" si="26"/>
        <v>519.36147506849329</v>
      </c>
      <c r="W115" s="32">
        <f t="shared" si="23"/>
        <v>529.74870456986321</v>
      </c>
      <c r="X115" s="32">
        <f t="shared" si="24"/>
        <v>540.13593407123301</v>
      </c>
      <c r="AH115" s="99">
        <v>95</v>
      </c>
      <c r="AI115" s="113" t="s">
        <v>4606</v>
      </c>
      <c r="AJ115" s="113">
        <v>220000</v>
      </c>
      <c r="AK115" s="99">
        <v>3</v>
      </c>
      <c r="AL115" s="99">
        <f t="shared" si="25"/>
        <v>49</v>
      </c>
      <c r="AM115" s="117">
        <f t="shared" si="11"/>
        <v>10780000</v>
      </c>
      <c r="AN115" s="99"/>
      <c r="AQ115" t="s">
        <v>25</v>
      </c>
    </row>
    <row r="116" spans="6:43">
      <c r="P116" s="114"/>
      <c r="Q116" s="35">
        <v>1472140</v>
      </c>
      <c r="R116" s="5" t="s">
        <v>4735</v>
      </c>
      <c r="S116" s="5">
        <f>S115-3</f>
        <v>24</v>
      </c>
      <c r="T116" s="5" t="s">
        <v>4739</v>
      </c>
      <c r="U116" s="168">
        <v>502</v>
      </c>
      <c r="V116" s="99">
        <f t="shared" si="26"/>
        <v>516.86470136986304</v>
      </c>
      <c r="W116" s="32">
        <f t="shared" si="23"/>
        <v>527.20199539726036</v>
      </c>
      <c r="X116" s="32">
        <f t="shared" si="24"/>
        <v>537.53928942465757</v>
      </c>
      <c r="Y116" t="s">
        <v>25</v>
      </c>
      <c r="AH116" s="99">
        <v>96</v>
      </c>
      <c r="AI116" s="113" t="s">
        <v>4616</v>
      </c>
      <c r="AJ116" s="113">
        <v>4000000</v>
      </c>
      <c r="AK116" s="99">
        <v>1</v>
      </c>
      <c r="AL116" s="99">
        <f t="shared" si="25"/>
        <v>46</v>
      </c>
      <c r="AM116" s="117">
        <f t="shared" si="11"/>
        <v>184000000</v>
      </c>
      <c r="AN116" s="99"/>
    </row>
    <row r="117" spans="6:43">
      <c r="F117" s="219"/>
      <c r="G117" s="219"/>
      <c r="H117" s="219"/>
      <c r="I117" s="219"/>
      <c r="J117" s="219" t="s">
        <v>4840</v>
      </c>
      <c r="K117" s="168" t="s">
        <v>4548</v>
      </c>
      <c r="L117" s="168" t="s">
        <v>4549</v>
      </c>
      <c r="M117" s="168" t="s">
        <v>4438</v>
      </c>
      <c r="N117" s="56" t="s">
        <v>190</v>
      </c>
      <c r="Q117" s="35">
        <v>4394591</v>
      </c>
      <c r="R117" s="5" t="s">
        <v>4742</v>
      </c>
      <c r="S117" s="5">
        <f>S116-1</f>
        <v>23</v>
      </c>
      <c r="T117" s="5" t="s">
        <v>4743</v>
      </c>
      <c r="U117" s="168">
        <v>481.7</v>
      </c>
      <c r="V117" s="99">
        <f t="shared" si="26"/>
        <v>495.59407561643837</v>
      </c>
      <c r="W117" s="32">
        <f t="shared" si="23"/>
        <v>505.50595712876714</v>
      </c>
      <c r="X117" s="32">
        <f t="shared" si="24"/>
        <v>515.41783864109595</v>
      </c>
      <c r="Y117" t="s">
        <v>25</v>
      </c>
      <c r="AH117" s="99">
        <v>97</v>
      </c>
      <c r="AI117" s="113" t="s">
        <v>4622</v>
      </c>
      <c r="AJ117" s="113">
        <v>-9000000</v>
      </c>
      <c r="AK117" s="99">
        <v>0</v>
      </c>
      <c r="AL117" s="99">
        <f t="shared" si="25"/>
        <v>45</v>
      </c>
      <c r="AM117" s="117">
        <f t="shared" si="11"/>
        <v>-405000000</v>
      </c>
      <c r="AN117" s="99"/>
      <c r="AP117" t="s">
        <v>25</v>
      </c>
    </row>
    <row r="118" spans="6:43">
      <c r="F118" s="219" t="s">
        <v>4364</v>
      </c>
      <c r="G118" s="219" t="s">
        <v>941</v>
      </c>
      <c r="H118" s="219" t="s">
        <v>4548</v>
      </c>
      <c r="I118" s="219" t="s">
        <v>937</v>
      </c>
      <c r="J118" s="219" t="s">
        <v>4841</v>
      </c>
      <c r="K118" s="168" t="s">
        <v>4243</v>
      </c>
      <c r="L118" s="169">
        <v>1100000</v>
      </c>
      <c r="M118" s="169">
        <v>1637000</v>
      </c>
      <c r="N118" s="168">
        <f t="shared" ref="N118:N126" si="31">(M118-L118)*100/L118</f>
        <v>48.81818181818182</v>
      </c>
      <c r="Q118" s="117">
        <v>4085110</v>
      </c>
      <c r="R118" s="19" t="s">
        <v>4745</v>
      </c>
      <c r="S118" s="19">
        <f>S117-1</f>
        <v>22</v>
      </c>
      <c r="T118" s="19" t="s">
        <v>4746</v>
      </c>
      <c r="U118" s="219">
        <v>3115.9</v>
      </c>
      <c r="V118" s="99">
        <f t="shared" si="26"/>
        <v>3203.384227945206</v>
      </c>
      <c r="W118" s="32">
        <f t="shared" si="23"/>
        <v>3267.4519125041102</v>
      </c>
      <c r="X118" s="32">
        <f t="shared" si="24"/>
        <v>3331.5195970630143</v>
      </c>
      <c r="Y118" s="122" t="s">
        <v>25</v>
      </c>
      <c r="AH118" s="99">
        <v>98</v>
      </c>
      <c r="AI118" s="113" t="s">
        <v>4622</v>
      </c>
      <c r="AJ118" s="113">
        <v>13900000</v>
      </c>
      <c r="AK118" s="99">
        <v>2</v>
      </c>
      <c r="AL118" s="99">
        <f t="shared" si="25"/>
        <v>45</v>
      </c>
      <c r="AM118" s="117">
        <f t="shared" si="11"/>
        <v>625500000</v>
      </c>
      <c r="AN118" s="99"/>
    </row>
    <row r="119" spans="6:43">
      <c r="F119" s="219">
        <v>3307.5</v>
      </c>
      <c r="G119" s="219">
        <f>P44</f>
        <v>3320.6</v>
      </c>
      <c r="H119" s="219" t="s">
        <v>4392</v>
      </c>
      <c r="I119" s="219">
        <v>3761</v>
      </c>
      <c r="J119" s="1">
        <f>I119*P44</f>
        <v>12488776.6</v>
      </c>
      <c r="K119" s="5" t="s">
        <v>4543</v>
      </c>
      <c r="L119" s="169">
        <v>1100000</v>
      </c>
      <c r="M119" s="169">
        <v>4748000</v>
      </c>
      <c r="N119" s="168">
        <f t="shared" si="31"/>
        <v>331.63636363636363</v>
      </c>
      <c r="Q119" s="117">
        <v>205386</v>
      </c>
      <c r="R119" s="19" t="s">
        <v>4747</v>
      </c>
      <c r="S119" s="19">
        <f>S118</f>
        <v>22</v>
      </c>
      <c r="T119" s="19" t="s">
        <v>4748</v>
      </c>
      <c r="U119" s="219">
        <v>178.1</v>
      </c>
      <c r="V119" s="99">
        <f t="shared" si="26"/>
        <v>183.10046246575345</v>
      </c>
      <c r="W119" s="32">
        <f t="shared" si="23"/>
        <v>186.76247171506853</v>
      </c>
      <c r="X119" s="32">
        <f t="shared" si="24"/>
        <v>190.4244809643836</v>
      </c>
      <c r="AH119" s="99">
        <v>99</v>
      </c>
      <c r="AI119" s="113" t="s">
        <v>4632</v>
      </c>
      <c r="AJ119" s="113">
        <v>-8127577</v>
      </c>
      <c r="AK119" s="99">
        <v>1</v>
      </c>
      <c r="AL119" s="99">
        <f t="shared" si="25"/>
        <v>43</v>
      </c>
      <c r="AM119" s="117">
        <f t="shared" si="11"/>
        <v>-349485811</v>
      </c>
      <c r="AN119" s="99"/>
      <c r="AO119" t="s">
        <v>25</v>
      </c>
    </row>
    <row r="120" spans="6:43">
      <c r="F120" s="219">
        <v>5249.5</v>
      </c>
      <c r="G120" s="219">
        <f>P47</f>
        <v>5273.3</v>
      </c>
      <c r="H120" s="219" t="s">
        <v>4396</v>
      </c>
      <c r="I120" s="219">
        <v>7163</v>
      </c>
      <c r="J120" s="1">
        <f>I120*P47</f>
        <v>37772647.899999999</v>
      </c>
      <c r="K120" s="5" t="s">
        <v>4544</v>
      </c>
      <c r="L120" s="169">
        <v>1100000</v>
      </c>
      <c r="M120" s="169">
        <v>5137000</v>
      </c>
      <c r="N120" s="168">
        <f t="shared" si="31"/>
        <v>367</v>
      </c>
      <c r="P120" s="114"/>
      <c r="Q120" s="117">
        <v>101496</v>
      </c>
      <c r="R120" s="19" t="s">
        <v>4749</v>
      </c>
      <c r="S120" s="19">
        <f>S119-1</f>
        <v>21</v>
      </c>
      <c r="T120" s="19" t="s">
        <v>4751</v>
      </c>
      <c r="U120" s="219">
        <v>168.1</v>
      </c>
      <c r="V120" s="99">
        <f t="shared" si="26"/>
        <v>172.69074191780823</v>
      </c>
      <c r="W120" s="32">
        <f t="shared" si="23"/>
        <v>176.14455675616441</v>
      </c>
      <c r="X120" s="32">
        <f t="shared" si="24"/>
        <v>179.59837159452056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42</v>
      </c>
      <c r="AM120" s="117">
        <f t="shared" si="11"/>
        <v>663287058</v>
      </c>
      <c r="AN120" s="99"/>
      <c r="AO120" t="s">
        <v>25</v>
      </c>
      <c r="AP120" t="s">
        <v>25</v>
      </c>
    </row>
    <row r="121" spans="6:43">
      <c r="F121" s="219">
        <v>519.79999999999995</v>
      </c>
      <c r="G121" s="219">
        <f>P48</f>
        <v>531.29999999999995</v>
      </c>
      <c r="H121" s="219" t="s">
        <v>4411</v>
      </c>
      <c r="I121" s="219">
        <v>0</v>
      </c>
      <c r="J121" s="1">
        <f>I121*P48</f>
        <v>0</v>
      </c>
      <c r="K121" s="19" t="s">
        <v>4392</v>
      </c>
      <c r="L121" s="169">
        <v>1100000</v>
      </c>
      <c r="M121" s="169">
        <v>4300000</v>
      </c>
      <c r="N121" s="168">
        <f t="shared" si="31"/>
        <v>290.90909090909093</v>
      </c>
      <c r="Q121" s="117">
        <v>8398607</v>
      </c>
      <c r="R121" s="19" t="s">
        <v>4760</v>
      </c>
      <c r="S121" s="19">
        <f>S120-7</f>
        <v>14</v>
      </c>
      <c r="T121" s="19" t="s">
        <v>4762</v>
      </c>
      <c r="U121" s="219">
        <v>3120.5</v>
      </c>
      <c r="V121" s="99">
        <f t="shared" si="26"/>
        <v>3188.9629150684937</v>
      </c>
      <c r="W121" s="32">
        <f t="shared" si="23"/>
        <v>3252.7421733698634</v>
      </c>
      <c r="X121" s="32">
        <f t="shared" si="24"/>
        <v>3316.5214316712336</v>
      </c>
      <c r="AH121" s="99">
        <v>101</v>
      </c>
      <c r="AI121" s="113" t="s">
        <v>4637</v>
      </c>
      <c r="AJ121" s="113">
        <v>8800000</v>
      </c>
      <c r="AK121" s="99">
        <v>0</v>
      </c>
      <c r="AL121" s="99">
        <f t="shared" ref="AL121:AL125" si="32">AL122+AK121</f>
        <v>39</v>
      </c>
      <c r="AM121" s="117">
        <f t="shared" ref="AM121:AM147" si="33">AJ121*AL121</f>
        <v>343200000</v>
      </c>
      <c r="AN121" s="99"/>
      <c r="AP121" t="s">
        <v>25</v>
      </c>
    </row>
    <row r="122" spans="6:43" ht="45">
      <c r="F122" s="219">
        <v>4051</v>
      </c>
      <c r="G122" s="219">
        <f>P49</f>
        <v>4100.3</v>
      </c>
      <c r="H122" s="219" t="s">
        <v>4545</v>
      </c>
      <c r="I122" s="219">
        <v>130</v>
      </c>
      <c r="J122" s="1">
        <f>I122*P49</f>
        <v>533039</v>
      </c>
      <c r="K122" s="5" t="s">
        <v>4411</v>
      </c>
      <c r="L122" s="169">
        <v>1100000</v>
      </c>
      <c r="M122" s="169">
        <v>3191000</v>
      </c>
      <c r="N122" s="168">
        <f t="shared" si="31"/>
        <v>190.09090909090909</v>
      </c>
      <c r="Q122" s="117">
        <v>18565999</v>
      </c>
      <c r="R122" s="19" t="s">
        <v>4763</v>
      </c>
      <c r="S122" s="19">
        <f>S121-1</f>
        <v>13</v>
      </c>
      <c r="T122" s="19" t="s">
        <v>4771</v>
      </c>
      <c r="U122" s="219">
        <v>3112.4</v>
      </c>
      <c r="V122" s="99">
        <f t="shared" si="26"/>
        <v>3178.2976087671236</v>
      </c>
      <c r="W122" s="32">
        <f t="shared" si="23"/>
        <v>3241.8635609424659</v>
      </c>
      <c r="X122" s="32">
        <f t="shared" si="24"/>
        <v>3305.4295131178087</v>
      </c>
      <c r="AH122" s="121">
        <v>102</v>
      </c>
      <c r="AI122" s="79" t="s">
        <v>4637</v>
      </c>
      <c r="AJ122" s="79">
        <v>13071612</v>
      </c>
      <c r="AK122" s="121">
        <v>1</v>
      </c>
      <c r="AL122" s="121">
        <f t="shared" si="32"/>
        <v>39</v>
      </c>
      <c r="AM122" s="79">
        <f t="shared" si="33"/>
        <v>509792868</v>
      </c>
      <c r="AN122" s="210" t="s">
        <v>4640</v>
      </c>
      <c r="AQ122" t="s">
        <v>25</v>
      </c>
    </row>
    <row r="123" spans="6:43">
      <c r="F123" s="219"/>
      <c r="G123" s="219"/>
      <c r="H123" s="219"/>
      <c r="I123" s="219"/>
      <c r="J123" s="1">
        <f>SUM(J119:J122)</f>
        <v>50794463.5</v>
      </c>
      <c r="K123" s="5" t="s">
        <v>4545</v>
      </c>
      <c r="L123" s="169">
        <v>1100000</v>
      </c>
      <c r="M123" s="169">
        <v>5623000</v>
      </c>
      <c r="N123" s="168">
        <f t="shared" si="31"/>
        <v>411.18181818181819</v>
      </c>
      <c r="Q123" s="117">
        <v>8381048</v>
      </c>
      <c r="R123" s="19" t="s">
        <v>4774</v>
      </c>
      <c r="S123" s="19">
        <f>S122-3</f>
        <v>10</v>
      </c>
      <c r="T123" s="19" t="s">
        <v>4800</v>
      </c>
      <c r="U123" s="219">
        <v>489</v>
      </c>
      <c r="V123" s="99">
        <f t="shared" si="26"/>
        <v>498.2280328767124</v>
      </c>
      <c r="W123" s="32">
        <f t="shared" si="23"/>
        <v>508.19259353424667</v>
      </c>
      <c r="X123" s="32">
        <f t="shared" si="24"/>
        <v>518.15715419178093</v>
      </c>
      <c r="Y123" t="s">
        <v>25</v>
      </c>
      <c r="AH123" s="89">
        <v>103</v>
      </c>
      <c r="AI123" s="90" t="s">
        <v>4643</v>
      </c>
      <c r="AJ123" s="90">
        <v>16727037</v>
      </c>
      <c r="AK123" s="89">
        <v>0</v>
      </c>
      <c r="AL123" s="89">
        <f t="shared" si="32"/>
        <v>38</v>
      </c>
      <c r="AM123" s="90">
        <f t="shared" si="33"/>
        <v>635627406</v>
      </c>
      <c r="AN123" s="89" t="s">
        <v>4654</v>
      </c>
    </row>
    <row r="124" spans="6:43">
      <c r="F124" s="219"/>
      <c r="G124" s="219"/>
      <c r="H124" s="219"/>
      <c r="I124" s="219"/>
      <c r="J124" s="219" t="s">
        <v>6</v>
      </c>
      <c r="K124" s="19" t="s">
        <v>4396</v>
      </c>
      <c r="L124" s="169">
        <v>1100000</v>
      </c>
      <c r="M124" s="169">
        <v>7728000</v>
      </c>
      <c r="N124" s="168">
        <f t="shared" si="31"/>
        <v>602.5454545454545</v>
      </c>
      <c r="Q124" s="117">
        <v>164801</v>
      </c>
      <c r="R124" s="19" t="s">
        <v>4788</v>
      </c>
      <c r="S124" s="19">
        <f>S123-2</f>
        <v>8</v>
      </c>
      <c r="T124" s="19" t="s">
        <v>4793</v>
      </c>
      <c r="U124" s="219">
        <v>3095.1</v>
      </c>
      <c r="V124" s="99">
        <f t="shared" si="26"/>
        <v>3148.75970630137</v>
      </c>
      <c r="W124" s="32">
        <f t="shared" si="23"/>
        <v>3211.7349004273974</v>
      </c>
      <c r="X124" s="32">
        <f t="shared" si="24"/>
        <v>3274.7100945534248</v>
      </c>
      <c r="AH124" s="99">
        <v>104</v>
      </c>
      <c r="AI124" s="113" t="s">
        <v>4643</v>
      </c>
      <c r="AJ124" s="113">
        <v>12000000</v>
      </c>
      <c r="AK124" s="99">
        <v>1</v>
      </c>
      <c r="AL124" s="99">
        <f t="shared" si="32"/>
        <v>38</v>
      </c>
      <c r="AM124" s="117">
        <f t="shared" si="33"/>
        <v>456000000</v>
      </c>
      <c r="AN124" s="99" t="s">
        <v>4655</v>
      </c>
    </row>
    <row r="125" spans="6:43">
      <c r="K125" s="5" t="s">
        <v>4547</v>
      </c>
      <c r="L125" s="169">
        <v>1100000</v>
      </c>
      <c r="M125" s="169">
        <v>2904000</v>
      </c>
      <c r="N125" s="168">
        <f t="shared" si="31"/>
        <v>164</v>
      </c>
      <c r="P125" s="114"/>
      <c r="Q125" s="117">
        <v>223613</v>
      </c>
      <c r="R125" s="19" t="s">
        <v>4788</v>
      </c>
      <c r="S125" s="19">
        <f>S124</f>
        <v>8</v>
      </c>
      <c r="T125" s="19" t="s">
        <v>4794</v>
      </c>
      <c r="U125" s="219">
        <v>4637.1000000000004</v>
      </c>
      <c r="V125" s="99">
        <f t="shared" si="26"/>
        <v>4717.4933391780833</v>
      </c>
      <c r="W125" s="32">
        <f t="shared" si="23"/>
        <v>4811.8432059616453</v>
      </c>
      <c r="X125" s="32">
        <f t="shared" si="24"/>
        <v>4906.1930727452063</v>
      </c>
      <c r="Y125" t="s">
        <v>25</v>
      </c>
      <c r="AH125" s="89">
        <v>105</v>
      </c>
      <c r="AI125" s="90" t="s">
        <v>4559</v>
      </c>
      <c r="AJ125" s="90">
        <v>88697667</v>
      </c>
      <c r="AK125" s="89">
        <v>1</v>
      </c>
      <c r="AL125" s="89">
        <f t="shared" si="32"/>
        <v>37</v>
      </c>
      <c r="AM125" s="90">
        <f t="shared" si="33"/>
        <v>3281813679</v>
      </c>
      <c r="AN125" s="89" t="s">
        <v>4656</v>
      </c>
      <c r="AP125" t="s">
        <v>25</v>
      </c>
    </row>
    <row r="126" spans="6:43">
      <c r="K126" s="56" t="s">
        <v>1086</v>
      </c>
      <c r="L126" s="169">
        <v>1100000</v>
      </c>
      <c r="M126" s="169">
        <v>3400000</v>
      </c>
      <c r="N126" s="168">
        <f t="shared" si="31"/>
        <v>209.09090909090909</v>
      </c>
      <c r="Q126" s="117">
        <v>989631</v>
      </c>
      <c r="R126" s="19" t="s">
        <v>4788</v>
      </c>
      <c r="S126" s="19">
        <f>S125</f>
        <v>8</v>
      </c>
      <c r="T126" s="19" t="s">
        <v>4795</v>
      </c>
      <c r="U126" s="219">
        <v>3863</v>
      </c>
      <c r="V126" s="99">
        <f t="shared" si="26"/>
        <v>3929.9727780821922</v>
      </c>
      <c r="W126" s="32">
        <f t="shared" si="23"/>
        <v>4008.5722336438362</v>
      </c>
      <c r="X126" s="32">
        <f t="shared" si="24"/>
        <v>4087.1716892054801</v>
      </c>
      <c r="AH126" s="99">
        <v>106</v>
      </c>
      <c r="AI126" s="113" t="s">
        <v>4562</v>
      </c>
      <c r="AJ126" s="113">
        <v>101000</v>
      </c>
      <c r="AK126" s="99">
        <v>0</v>
      </c>
      <c r="AL126" s="99">
        <f>AL127+AK126</f>
        <v>36</v>
      </c>
      <c r="AM126" s="117">
        <f t="shared" si="33"/>
        <v>3636000</v>
      </c>
      <c r="AN126" s="99"/>
    </row>
    <row r="127" spans="6:43">
      <c r="K127" s="208" t="s">
        <v>4579</v>
      </c>
      <c r="Q127" s="117">
        <v>441608</v>
      </c>
      <c r="R127" s="19" t="s">
        <v>4788</v>
      </c>
      <c r="S127" s="19">
        <f>S126</f>
        <v>8</v>
      </c>
      <c r="T127" s="19" t="s">
        <v>4796</v>
      </c>
      <c r="U127" s="219">
        <v>169</v>
      </c>
      <c r="V127" s="99">
        <f t="shared" si="26"/>
        <v>171.92995068493153</v>
      </c>
      <c r="W127" s="32">
        <f t="shared" si="23"/>
        <v>175.36854969863015</v>
      </c>
      <c r="X127" s="32">
        <f t="shared" si="24"/>
        <v>178.8071487123288</v>
      </c>
      <c r="AH127" s="149">
        <v>107</v>
      </c>
      <c r="AI127" s="190" t="s">
        <v>4653</v>
      </c>
      <c r="AJ127" s="190">
        <v>-48200</v>
      </c>
      <c r="AK127" s="149">
        <v>0</v>
      </c>
      <c r="AL127" s="149">
        <f t="shared" ref="AL127:AL147" si="34">AL128+AK127</f>
        <v>36</v>
      </c>
      <c r="AM127" s="190">
        <f t="shared" si="33"/>
        <v>-1735200</v>
      </c>
      <c r="AN127" s="149" t="s">
        <v>4664</v>
      </c>
      <c r="AQ127" t="s">
        <v>25</v>
      </c>
    </row>
    <row r="128" spans="6:43">
      <c r="K128" s="208" t="s">
        <v>4580</v>
      </c>
      <c r="Q128" s="117">
        <v>5001091</v>
      </c>
      <c r="R128" s="19" t="s">
        <v>4799</v>
      </c>
      <c r="S128" s="19">
        <f>S127-1</f>
        <v>7</v>
      </c>
      <c r="T128" s="19" t="s">
        <v>4801</v>
      </c>
      <c r="U128" s="219">
        <v>3125</v>
      </c>
      <c r="V128" s="99">
        <f t="shared" si="26"/>
        <v>3176.7808219178087</v>
      </c>
      <c r="W128" s="32">
        <f t="shared" si="23"/>
        <v>3240.3164383561648</v>
      </c>
      <c r="X128" s="32">
        <f t="shared" si="24"/>
        <v>3303.8520547945213</v>
      </c>
      <c r="AH128" s="89">
        <v>108</v>
      </c>
      <c r="AI128" s="90" t="s">
        <v>4653</v>
      </c>
      <c r="AJ128" s="90">
        <v>39327293</v>
      </c>
      <c r="AK128" s="89">
        <v>4</v>
      </c>
      <c r="AL128" s="149">
        <f t="shared" si="34"/>
        <v>36</v>
      </c>
      <c r="AM128" s="190">
        <f t="shared" si="33"/>
        <v>1415782548</v>
      </c>
      <c r="AN128" s="89" t="s">
        <v>4665</v>
      </c>
    </row>
    <row r="129" spans="11:44">
      <c r="K129" s="208" t="s">
        <v>4581</v>
      </c>
      <c r="Q129" s="117">
        <v>12497226</v>
      </c>
      <c r="R129" s="19" t="s">
        <v>4839</v>
      </c>
      <c r="S129" s="19">
        <f>S128-7</f>
        <v>0</v>
      </c>
      <c r="T129" s="19" t="s">
        <v>4843</v>
      </c>
      <c r="U129" s="219">
        <v>3307.5</v>
      </c>
      <c r="V129" s="99">
        <f t="shared" si="26"/>
        <v>3344.5440000000003</v>
      </c>
      <c r="W129" s="32">
        <f t="shared" si="23"/>
        <v>3411.4348800000002</v>
      </c>
      <c r="X129" s="32">
        <f t="shared" si="24"/>
        <v>3478.3257600000006</v>
      </c>
      <c r="AH129" s="89">
        <v>109</v>
      </c>
      <c r="AI129" s="90" t="s">
        <v>4680</v>
      </c>
      <c r="AJ129" s="90">
        <v>8749050</v>
      </c>
      <c r="AK129" s="89">
        <v>1</v>
      </c>
      <c r="AL129" s="89">
        <f t="shared" si="34"/>
        <v>32</v>
      </c>
      <c r="AM129" s="90">
        <f t="shared" si="33"/>
        <v>279969600</v>
      </c>
      <c r="AN129" s="89" t="s">
        <v>4684</v>
      </c>
    </row>
    <row r="130" spans="11:44">
      <c r="P130" s="114"/>
      <c r="Q130" s="117">
        <v>24695044</v>
      </c>
      <c r="R130" s="19" t="s">
        <v>4839</v>
      </c>
      <c r="S130" s="19">
        <f>S129</f>
        <v>0</v>
      </c>
      <c r="T130" s="19" t="s">
        <v>4844</v>
      </c>
      <c r="U130" s="219">
        <v>5249.5</v>
      </c>
      <c r="V130" s="99">
        <f t="shared" si="26"/>
        <v>5308.2944000000007</v>
      </c>
      <c r="W130" s="32">
        <f t="shared" si="23"/>
        <v>5414.4602880000011</v>
      </c>
      <c r="X130" s="32">
        <f t="shared" si="24"/>
        <v>5520.6261760000007</v>
      </c>
      <c r="AH130" s="99">
        <v>110</v>
      </c>
      <c r="AI130" s="113" t="s">
        <v>4686</v>
      </c>
      <c r="AJ130" s="113">
        <v>60000</v>
      </c>
      <c r="AK130" s="99">
        <v>1</v>
      </c>
      <c r="AL130" s="99">
        <f t="shared" si="34"/>
        <v>31</v>
      </c>
      <c r="AM130" s="117">
        <f t="shared" si="33"/>
        <v>1860000</v>
      </c>
      <c r="AN130" s="99" t="s">
        <v>4687</v>
      </c>
      <c r="AQ130" t="s">
        <v>25</v>
      </c>
    </row>
    <row r="131" spans="11:44">
      <c r="Q131" s="117">
        <v>529210</v>
      </c>
      <c r="R131" s="19" t="s">
        <v>4839</v>
      </c>
      <c r="S131" s="19">
        <f>S130</f>
        <v>0</v>
      </c>
      <c r="T131" s="19" t="s">
        <v>4845</v>
      </c>
      <c r="U131" s="219">
        <v>4051</v>
      </c>
      <c r="V131" s="99">
        <f t="shared" si="26"/>
        <v>4096.3712000000005</v>
      </c>
      <c r="W131" s="32">
        <f t="shared" si="23"/>
        <v>4178.2986240000009</v>
      </c>
      <c r="X131" s="32">
        <f t="shared" si="24"/>
        <v>4260.2260480000004</v>
      </c>
      <c r="AH131" s="20">
        <v>111</v>
      </c>
      <c r="AI131" s="117" t="s">
        <v>4696</v>
      </c>
      <c r="AJ131" s="117">
        <v>4750000</v>
      </c>
      <c r="AK131" s="20">
        <v>0</v>
      </c>
      <c r="AL131" s="99">
        <f t="shared" si="34"/>
        <v>30</v>
      </c>
      <c r="AM131" s="117">
        <f t="shared" si="33"/>
        <v>142500000</v>
      </c>
      <c r="AN131" s="20"/>
    </row>
    <row r="132" spans="11:44">
      <c r="Q132" s="117">
        <v>13041741</v>
      </c>
      <c r="R132" s="19" t="s">
        <v>4851</v>
      </c>
      <c r="S132" s="19">
        <f>S131-1</f>
        <v>-1</v>
      </c>
      <c r="T132" s="19" t="s">
        <v>4853</v>
      </c>
      <c r="U132" s="219">
        <v>5235</v>
      </c>
      <c r="V132" s="99">
        <f t="shared" si="26"/>
        <v>5289.616109589042</v>
      </c>
      <c r="W132" s="32">
        <f t="shared" si="23"/>
        <v>5395.4084317808229</v>
      </c>
      <c r="X132" s="32">
        <f t="shared" si="24"/>
        <v>5501.2007539726037</v>
      </c>
      <c r="AH132" s="89">
        <v>112</v>
      </c>
      <c r="AI132" s="90" t="s">
        <v>4696</v>
      </c>
      <c r="AJ132" s="90">
        <v>13101160</v>
      </c>
      <c r="AK132" s="89">
        <v>1</v>
      </c>
      <c r="AL132" s="89">
        <f t="shared" si="34"/>
        <v>30</v>
      </c>
      <c r="AM132" s="90">
        <f t="shared" si="33"/>
        <v>393034800</v>
      </c>
      <c r="AN132" s="89" t="s">
        <v>4701</v>
      </c>
    </row>
    <row r="133" spans="11:44">
      <c r="Q133" s="117"/>
      <c r="R133" s="19"/>
      <c r="S133" s="19"/>
      <c r="T133" s="19"/>
      <c r="U133" s="219"/>
      <c r="V133" s="99"/>
      <c r="W133" s="32"/>
      <c r="X133" s="32"/>
      <c r="AH133" s="20">
        <v>113</v>
      </c>
      <c r="AI133" s="117" t="s">
        <v>4700</v>
      </c>
      <c r="AJ133" s="117">
        <v>-980000</v>
      </c>
      <c r="AK133" s="20">
        <v>0</v>
      </c>
      <c r="AL133" s="99">
        <f t="shared" si="34"/>
        <v>29</v>
      </c>
      <c r="AM133" s="117">
        <f t="shared" si="33"/>
        <v>-28420000</v>
      </c>
      <c r="AN133" s="20"/>
    </row>
    <row r="134" spans="11:44">
      <c r="Q134" s="117"/>
      <c r="R134" s="19"/>
      <c r="S134" s="19"/>
      <c r="T134" s="19"/>
      <c r="U134" s="219"/>
      <c r="V134" s="99"/>
      <c r="W134" s="32"/>
      <c r="X134" s="32"/>
      <c r="AH134" s="89">
        <v>114</v>
      </c>
      <c r="AI134" s="90" t="s">
        <v>4700</v>
      </c>
      <c r="AJ134" s="90">
        <v>13301790</v>
      </c>
      <c r="AK134" s="89">
        <v>0</v>
      </c>
      <c r="AL134" s="89">
        <f t="shared" si="34"/>
        <v>29</v>
      </c>
      <c r="AM134" s="90">
        <f t="shared" si="33"/>
        <v>385751910</v>
      </c>
      <c r="AN134" s="89" t="s">
        <v>4701</v>
      </c>
    </row>
    <row r="135" spans="11:44">
      <c r="Q135" s="169"/>
      <c r="R135" s="168"/>
      <c r="S135" s="168"/>
      <c r="T135" s="168"/>
      <c r="U135" s="168"/>
      <c r="V135" s="99"/>
      <c r="W135" s="32"/>
      <c r="X135" s="32"/>
      <c r="AH135" s="20">
        <v>115</v>
      </c>
      <c r="AI135" s="117" t="s">
        <v>4700</v>
      </c>
      <c r="AJ135" s="117">
        <v>404000</v>
      </c>
      <c r="AK135" s="20">
        <v>5</v>
      </c>
      <c r="AL135" s="99">
        <f t="shared" si="34"/>
        <v>29</v>
      </c>
      <c r="AM135" s="117">
        <f t="shared" si="33"/>
        <v>11716000</v>
      </c>
      <c r="AN135" s="20" t="s">
        <v>4715</v>
      </c>
      <c r="AQ135" t="s">
        <v>25</v>
      </c>
    </row>
    <row r="136" spans="11:44">
      <c r="Q136" s="169"/>
      <c r="R136" s="168"/>
      <c r="S136" s="168"/>
      <c r="T136" s="168"/>
      <c r="U136" s="168"/>
      <c r="V136" s="99">
        <f>U136*(1+$N$86+$Q$15*S136/36500)</f>
        <v>0</v>
      </c>
      <c r="W136" s="32">
        <f t="shared" si="23"/>
        <v>0</v>
      </c>
      <c r="X136" s="32">
        <f t="shared" si="24"/>
        <v>0</v>
      </c>
      <c r="AH136" s="89">
        <v>116</v>
      </c>
      <c r="AI136" s="90" t="s">
        <v>4742</v>
      </c>
      <c r="AJ136" s="90">
        <v>4291628</v>
      </c>
      <c r="AK136" s="89">
        <v>2</v>
      </c>
      <c r="AL136" s="89">
        <f t="shared" si="34"/>
        <v>24</v>
      </c>
      <c r="AM136" s="90">
        <f t="shared" si="33"/>
        <v>102999072</v>
      </c>
      <c r="AN136" s="89" t="s">
        <v>4744</v>
      </c>
    </row>
    <row r="137" spans="11:44">
      <c r="Q137" s="113">
        <f>SUM(N44:N55)-SUM(Q70:Q136)</f>
        <v>1203710.7000000477</v>
      </c>
      <c r="R137" s="112"/>
      <c r="S137" s="112"/>
      <c r="T137" s="112"/>
      <c r="U137" s="168"/>
      <c r="V137" s="99" t="s">
        <v>25</v>
      </c>
      <c r="W137" s="32"/>
      <c r="X137" s="32"/>
      <c r="Y137" t="s">
        <v>25</v>
      </c>
      <c r="Z137" t="s">
        <v>25</v>
      </c>
      <c r="AH137" s="20">
        <v>117</v>
      </c>
      <c r="AI137" s="117" t="s">
        <v>4749</v>
      </c>
      <c r="AJ137" s="117">
        <v>1000</v>
      </c>
      <c r="AK137" s="20">
        <v>5</v>
      </c>
      <c r="AL137" s="20">
        <f t="shared" si="34"/>
        <v>22</v>
      </c>
      <c r="AM137" s="117">
        <f t="shared" si="33"/>
        <v>22000</v>
      </c>
      <c r="AN137" s="20"/>
    </row>
    <row r="138" spans="11:44">
      <c r="Q138" s="26"/>
      <c r="R138" s="182"/>
      <c r="S138" s="182"/>
      <c r="T138" t="s">
        <v>25</v>
      </c>
      <c r="U138" s="96" t="s">
        <v>25</v>
      </c>
      <c r="V138" s="96" t="s">
        <v>25</v>
      </c>
      <c r="W138" s="96" t="s">
        <v>25</v>
      </c>
      <c r="Y138" t="s">
        <v>25</v>
      </c>
      <c r="AH138" s="121">
        <v>118</v>
      </c>
      <c r="AI138" s="79" t="s">
        <v>4758</v>
      </c>
      <c r="AJ138" s="79">
        <v>8739459</v>
      </c>
      <c r="AK138" s="121">
        <v>2</v>
      </c>
      <c r="AL138" s="121">
        <f t="shared" si="34"/>
        <v>17</v>
      </c>
      <c r="AM138" s="79">
        <f t="shared" si="33"/>
        <v>148570803</v>
      </c>
      <c r="AN138" s="121" t="s">
        <v>4684</v>
      </c>
    </row>
    <row r="139" spans="11:44">
      <c r="R139" s="32" t="s">
        <v>4583</v>
      </c>
      <c r="S139" s="32" t="s">
        <v>950</v>
      </c>
      <c r="T139" t="s">
        <v>25</v>
      </c>
      <c r="U139" s="96" t="s">
        <v>25</v>
      </c>
      <c r="V139" s="96" t="s">
        <v>25</v>
      </c>
      <c r="W139" s="96" t="s">
        <v>25</v>
      </c>
      <c r="X139" s="122" t="s">
        <v>25</v>
      </c>
      <c r="AH139" s="121">
        <v>119</v>
      </c>
      <c r="AI139" s="79" t="s">
        <v>4760</v>
      </c>
      <c r="AJ139" s="79">
        <v>17595278</v>
      </c>
      <c r="AK139" s="121">
        <v>1</v>
      </c>
      <c r="AL139" s="121">
        <f t="shared" si="34"/>
        <v>15</v>
      </c>
      <c r="AM139" s="79">
        <f t="shared" si="33"/>
        <v>263929170</v>
      </c>
      <c r="AN139" s="121" t="s">
        <v>4764</v>
      </c>
    </row>
    <row r="140" spans="11:44">
      <c r="R140" s="32">
        <v>27060</v>
      </c>
      <c r="S140" s="169">
        <v>13293737</v>
      </c>
      <c r="U140" s="96" t="s">
        <v>25</v>
      </c>
      <c r="V140" s="122" t="s">
        <v>25</v>
      </c>
      <c r="X140" t="s">
        <v>25</v>
      </c>
      <c r="AH140" s="121">
        <v>120</v>
      </c>
      <c r="AI140" s="79" t="s">
        <v>4763</v>
      </c>
      <c r="AJ140" s="79">
        <v>13335309</v>
      </c>
      <c r="AK140" s="121">
        <v>13</v>
      </c>
      <c r="AL140" s="121">
        <f t="shared" si="34"/>
        <v>14</v>
      </c>
      <c r="AM140" s="79">
        <f t="shared" si="33"/>
        <v>186694326</v>
      </c>
      <c r="AN140" s="121" t="s">
        <v>4701</v>
      </c>
    </row>
    <row r="141" spans="11:44">
      <c r="Q141" t="s">
        <v>25</v>
      </c>
      <c r="R141" s="32">
        <v>10000</v>
      </c>
      <c r="S141" s="1">
        <f>S140*R141/R140</f>
        <v>4912689.2091648187</v>
      </c>
      <c r="U141" s="96" t="s">
        <v>25</v>
      </c>
      <c r="V141" s="122" t="s">
        <v>25</v>
      </c>
      <c r="W141" s="96" t="s">
        <v>25</v>
      </c>
      <c r="X141" t="s">
        <v>25</v>
      </c>
      <c r="AH141" s="161">
        <v>121</v>
      </c>
      <c r="AI141" s="237" t="s">
        <v>4839</v>
      </c>
      <c r="AJ141" s="237">
        <v>50000000</v>
      </c>
      <c r="AK141" s="161">
        <v>1</v>
      </c>
      <c r="AL141" s="161">
        <f t="shared" si="34"/>
        <v>1</v>
      </c>
      <c r="AM141" s="237">
        <f t="shared" si="33"/>
        <v>50000000</v>
      </c>
      <c r="AN141" s="161" t="s">
        <v>4842</v>
      </c>
      <c r="AP141" t="s">
        <v>25</v>
      </c>
      <c r="AR141" t="s">
        <v>25</v>
      </c>
    </row>
    <row r="142" spans="11:44">
      <c r="R142" s="32">
        <f>R140-R141</f>
        <v>17060</v>
      </c>
      <c r="S142" s="1">
        <f>R142*S140/R140</f>
        <v>8381047.7908351813</v>
      </c>
      <c r="V142" s="96"/>
      <c r="W142"/>
      <c r="AH142" s="20"/>
      <c r="AI142" s="117"/>
      <c r="AJ142" s="117"/>
      <c r="AK142" s="20"/>
      <c r="AL142" s="20">
        <f t="shared" si="34"/>
        <v>0</v>
      </c>
      <c r="AM142" s="117">
        <f t="shared" si="33"/>
        <v>0</v>
      </c>
      <c r="AN142" s="20"/>
    </row>
    <row r="143" spans="11:44">
      <c r="V143" s="96"/>
      <c r="W143"/>
      <c r="AH143" s="20"/>
      <c r="AI143" s="117"/>
      <c r="AJ143" s="117"/>
      <c r="AK143" s="20"/>
      <c r="AL143" s="20">
        <f t="shared" si="34"/>
        <v>0</v>
      </c>
      <c r="AM143" s="117">
        <f t="shared" si="33"/>
        <v>0</v>
      </c>
      <c r="AN143" s="20"/>
    </row>
    <row r="144" spans="11:44">
      <c r="Q144" s="99" t="s">
        <v>4465</v>
      </c>
      <c r="R144" s="99" t="s">
        <v>4467</v>
      </c>
      <c r="S144" s="99"/>
      <c r="T144" s="99" t="s">
        <v>4468</v>
      </c>
      <c r="U144" s="99"/>
      <c r="V144" s="99"/>
      <c r="W144" s="99" t="s">
        <v>4586</v>
      </c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Q145" s="113">
        <v>1000</v>
      </c>
      <c r="R145" s="99">
        <v>0.25</v>
      </c>
      <c r="S145" s="99"/>
      <c r="T145" s="99">
        <f>1-R145</f>
        <v>0.75</v>
      </c>
      <c r="U145" s="99"/>
      <c r="V145" s="99"/>
      <c r="W145" s="99"/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P146" s="114"/>
      <c r="Q146" s="168" t="s">
        <v>4452</v>
      </c>
      <c r="R146" s="168" t="s">
        <v>4470</v>
      </c>
      <c r="S146" s="168" t="s">
        <v>4472</v>
      </c>
      <c r="T146" s="168" t="s">
        <v>180</v>
      </c>
      <c r="U146" s="168" t="s">
        <v>4466</v>
      </c>
      <c r="V146" s="56" t="s">
        <v>4469</v>
      </c>
      <c r="W146" s="99"/>
      <c r="X146" s="115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P147">
        <f>2561+R148</f>
        <v>1478346</v>
      </c>
      <c r="Q147" s="168" t="s">
        <v>751</v>
      </c>
      <c r="R147" s="56">
        <v>1673381</v>
      </c>
      <c r="S147" s="113">
        <f>R147*$T$209</f>
        <v>430047459.88292491</v>
      </c>
      <c r="T147" s="168" t="s">
        <v>4464</v>
      </c>
      <c r="U147" s="168">
        <f>$Q$145*$T$145*S147/$R$171</f>
        <v>391.34309802693855</v>
      </c>
      <c r="V147" s="95">
        <f>S147+U147</f>
        <v>430047851.22602296</v>
      </c>
      <c r="W147" s="99">
        <f>R147*100/U206</f>
        <v>52.179079736925146</v>
      </c>
      <c r="X147" s="223"/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 s="114"/>
      <c r="Q148" s="168" t="s">
        <v>4454</v>
      </c>
      <c r="R148" s="56">
        <v>1475785</v>
      </c>
      <c r="S148" s="113">
        <f>R148*$T$209</f>
        <v>379266640.76102358</v>
      </c>
      <c r="T148" s="168" t="s">
        <v>4464</v>
      </c>
      <c r="U148" s="168">
        <f>$Q$145*$T$145*S148/$R$171+Q145*R145</f>
        <v>595.13256330846684</v>
      </c>
      <c r="V148" s="95">
        <f>S148+U148</f>
        <v>379267235.89358687</v>
      </c>
      <c r="W148" s="99">
        <f>R148*100/U206</f>
        <v>46.017675107795583</v>
      </c>
      <c r="X148" s="115"/>
      <c r="AH148" s="99"/>
      <c r="AI148" s="99"/>
      <c r="AJ148" s="95">
        <f>SUM(AJ20:AJ147)</f>
        <v>539326086</v>
      </c>
      <c r="AK148" s="99"/>
      <c r="AL148" s="99"/>
      <c r="AM148" s="95">
        <f>SUM(AM20:AM147)</f>
        <v>50167299995</v>
      </c>
      <c r="AN148" s="95">
        <f>AM148*AN151/31</f>
        <v>32365999.996774193</v>
      </c>
    </row>
    <row r="149" spans="16:44">
      <c r="Q149" s="168" t="s">
        <v>4453</v>
      </c>
      <c r="R149" s="56">
        <v>57830</v>
      </c>
      <c r="S149" s="113">
        <f>R149*$T$209</f>
        <v>14861914.056051521</v>
      </c>
      <c r="T149" s="168" t="s">
        <v>4464</v>
      </c>
      <c r="U149" s="168">
        <f>$Q$145*$T$145*S149/$R$171</f>
        <v>13.524338664594531</v>
      </c>
      <c r="V149" s="95">
        <f>S149+U149</f>
        <v>14861927.580390185</v>
      </c>
      <c r="W149" s="99">
        <f>R149*100/U206</f>
        <v>1.8032451552792708</v>
      </c>
      <c r="X149" s="115"/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168"/>
      <c r="R150" s="56"/>
      <c r="S150" s="168"/>
      <c r="T150" s="168"/>
      <c r="U150" s="168"/>
      <c r="V150" s="99"/>
      <c r="W150" s="99"/>
      <c r="X150" s="115"/>
      <c r="AH150" s="99"/>
      <c r="AI150" s="99"/>
      <c r="AJ150" s="99"/>
      <c r="AK150" s="99"/>
      <c r="AL150" s="99"/>
      <c r="AM150" s="99"/>
      <c r="AN150" s="99"/>
    </row>
    <row r="151" spans="16:44">
      <c r="Q151" s="168"/>
      <c r="R151" s="56"/>
      <c r="S151" s="168"/>
      <c r="T151" s="168"/>
      <c r="U151" s="168"/>
      <c r="V151" s="168"/>
      <c r="W151" s="99"/>
      <c r="X151" s="96"/>
      <c r="AH151" s="99"/>
      <c r="AI151" s="99"/>
      <c r="AJ151" s="99"/>
      <c r="AK151" s="99"/>
      <c r="AL151" s="99"/>
      <c r="AM151" s="99" t="s">
        <v>4060</v>
      </c>
      <c r="AN151" s="99">
        <v>0.02</v>
      </c>
    </row>
    <row r="152" spans="16:44">
      <c r="Q152" s="168"/>
      <c r="R152" s="168"/>
      <c r="S152" s="168"/>
      <c r="T152" s="168"/>
      <c r="U152" s="168"/>
      <c r="V152" s="168"/>
      <c r="W152" s="99"/>
      <c r="X152" s="96"/>
      <c r="AH152" s="99"/>
      <c r="AI152" s="99"/>
      <c r="AJ152" s="99"/>
      <c r="AK152" s="99"/>
      <c r="AL152" s="99"/>
      <c r="AM152" s="99"/>
      <c r="AN152" s="99"/>
    </row>
    <row r="153" spans="16:44">
      <c r="P153" s="114"/>
      <c r="Q153" s="99"/>
      <c r="R153" s="99"/>
      <c r="S153" s="99"/>
      <c r="T153" s="99" t="s">
        <v>25</v>
      </c>
      <c r="U153" s="99"/>
      <c r="V153" s="99"/>
      <c r="W153" s="99"/>
      <c r="X153" s="96"/>
      <c r="AH153" s="99"/>
      <c r="AI153" s="99" t="s">
        <v>4061</v>
      </c>
      <c r="AJ153" s="95">
        <f>AJ148+AN148</f>
        <v>571692085.9967742</v>
      </c>
      <c r="AK153" s="99"/>
      <c r="AL153" s="99"/>
      <c r="AM153" s="99"/>
      <c r="AN153" s="99"/>
    </row>
    <row r="154" spans="16:44">
      <c r="Q154" s="99"/>
      <c r="R154" s="99"/>
      <c r="S154" s="99"/>
      <c r="T154" s="99"/>
      <c r="U154" s="99"/>
      <c r="V154" s="99"/>
      <c r="W154" s="99"/>
      <c r="X154" s="96"/>
      <c r="AI154" t="s">
        <v>4064</v>
      </c>
      <c r="AJ154" s="114">
        <f>SUM(N42:N55)</f>
        <v>571486977.70000005</v>
      </c>
    </row>
    <row r="155" spans="16:44">
      <c r="Q155" s="99"/>
      <c r="R155" s="99"/>
      <c r="S155" s="99"/>
      <c r="T155" s="99"/>
      <c r="U155" s="99"/>
      <c r="V155" s="99"/>
      <c r="W155" s="99"/>
      <c r="X155" s="96"/>
      <c r="AI155" t="s">
        <v>4136</v>
      </c>
      <c r="AJ155" s="114">
        <f>AJ154-AJ148</f>
        <v>32160891.700000048</v>
      </c>
      <c r="AM155" t="s">
        <v>25</v>
      </c>
    </row>
    <row r="156" spans="16:44">
      <c r="P156" s="114"/>
      <c r="Q156" s="96"/>
      <c r="R156" s="96"/>
      <c r="S156" s="96"/>
      <c r="T156" s="96"/>
      <c r="V156" s="96"/>
      <c r="X156" s="115"/>
      <c r="AI156" t="s">
        <v>943</v>
      </c>
      <c r="AJ156" s="114">
        <f>AN148</f>
        <v>32365999.996774193</v>
      </c>
    </row>
    <row r="157" spans="16:44">
      <c r="P157" s="114"/>
      <c r="Q157" s="96"/>
      <c r="R157" s="96"/>
      <c r="S157" s="96"/>
      <c r="T157" s="96"/>
      <c r="V157" s="96"/>
      <c r="AI157" t="s">
        <v>4065</v>
      </c>
      <c r="AJ157" s="114">
        <f>AJ154-AJ153</f>
        <v>-205108.29677414894</v>
      </c>
      <c r="AN157" t="s">
        <v>25</v>
      </c>
    </row>
    <row r="158" spans="16:44">
      <c r="Q158" s="96"/>
      <c r="R158" s="96"/>
      <c r="S158" s="96"/>
      <c r="T158" s="96" t="s">
        <v>25</v>
      </c>
      <c r="V158" s="96"/>
      <c r="AM158" t="s">
        <v>25</v>
      </c>
    </row>
    <row r="159" spans="16:44">
      <c r="Q159" s="96"/>
      <c r="R159" s="96"/>
      <c r="S159" s="96"/>
      <c r="T159" s="96"/>
      <c r="V159" s="96"/>
      <c r="AJ159" t="s">
        <v>25</v>
      </c>
    </row>
    <row r="160" spans="16:44">
      <c r="Q160" s="96"/>
      <c r="R160" s="96"/>
      <c r="S160" s="96"/>
      <c r="T160" s="99" t="s">
        <v>180</v>
      </c>
      <c r="U160" s="99" t="s">
        <v>4488</v>
      </c>
      <c r="V160" s="99" t="s">
        <v>4489</v>
      </c>
      <c r="W160" s="99" t="s">
        <v>4499</v>
      </c>
      <c r="X160" s="99" t="s">
        <v>8</v>
      </c>
    </row>
    <row r="161" spans="16:40">
      <c r="Q161" s="36" t="s">
        <v>4582</v>
      </c>
      <c r="R161" s="95">
        <f>SUM(N44:N55)</f>
        <v>571467012.70000005</v>
      </c>
      <c r="T161" s="113" t="s">
        <v>4464</v>
      </c>
      <c r="U161" s="56">
        <v>1000000</v>
      </c>
      <c r="V161" s="113">
        <v>239.024</v>
      </c>
      <c r="W161" s="113">
        <f t="shared" ref="W161:W204" si="35">U161*V161</f>
        <v>239024000</v>
      </c>
      <c r="X161" s="99"/>
    </row>
    <row r="162" spans="16:40">
      <c r="P162" s="114"/>
      <c r="Q162" s="99" t="s">
        <v>4455</v>
      </c>
      <c r="R162" s="95">
        <f>SUM(N21:N25)</f>
        <v>247324240.30000001</v>
      </c>
      <c r="T162" s="168" t="s">
        <v>4446</v>
      </c>
      <c r="U162" s="56">
        <v>5904</v>
      </c>
      <c r="V162" s="113">
        <v>237.148</v>
      </c>
      <c r="W162" s="113">
        <f t="shared" si="35"/>
        <v>1400121.7919999999</v>
      </c>
      <c r="X162" s="99" t="s">
        <v>751</v>
      </c>
    </row>
    <row r="163" spans="16:40">
      <c r="Q163" s="99" t="s">
        <v>4456</v>
      </c>
      <c r="R163" s="95">
        <f>SUM(N28:N31)</f>
        <v>4191372.7</v>
      </c>
      <c r="T163" s="168" t="s">
        <v>4232</v>
      </c>
      <c r="U163" s="168">
        <v>1000</v>
      </c>
      <c r="V163" s="113">
        <v>247.393</v>
      </c>
      <c r="W163" s="113">
        <f t="shared" si="35"/>
        <v>247393</v>
      </c>
      <c r="X163" s="99" t="s">
        <v>751</v>
      </c>
    </row>
    <row r="164" spans="16:40">
      <c r="Q164" s="99" t="s">
        <v>4457</v>
      </c>
      <c r="R164" s="95">
        <f>N42</f>
        <v>19965</v>
      </c>
      <c r="T164" s="168" t="s">
        <v>4501</v>
      </c>
      <c r="U164" s="168">
        <v>8071</v>
      </c>
      <c r="V164" s="113">
        <v>247.797</v>
      </c>
      <c r="W164" s="113">
        <f t="shared" si="35"/>
        <v>1999969.5870000001</v>
      </c>
      <c r="X164" s="99" t="s">
        <v>4453</v>
      </c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Q165" s="99" t="s">
        <v>4458</v>
      </c>
      <c r="R165" s="95">
        <f>N20</f>
        <v>357</v>
      </c>
      <c r="T165" s="168" t="s">
        <v>4501</v>
      </c>
      <c r="U165" s="168">
        <v>53672</v>
      </c>
      <c r="V165" s="113">
        <v>247.797</v>
      </c>
      <c r="W165" s="113">
        <f t="shared" si="35"/>
        <v>13299760.584000001</v>
      </c>
      <c r="X165" s="99" t="s">
        <v>452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214</v>
      </c>
      <c r="AM165" s="99">
        <f>AJ165*AL165</f>
        <v>760945480</v>
      </c>
      <c r="AN165" s="99" t="s">
        <v>4313</v>
      </c>
    </row>
    <row r="166" spans="16:40">
      <c r="Q166" s="99" t="s">
        <v>4459</v>
      </c>
      <c r="R166" s="95">
        <f>N27</f>
        <v>2881</v>
      </c>
      <c r="T166" s="168" t="s">
        <v>4511</v>
      </c>
      <c r="U166" s="168">
        <v>4099</v>
      </c>
      <c r="V166" s="113">
        <v>243.93</v>
      </c>
      <c r="W166" s="113">
        <f t="shared" si="35"/>
        <v>999869.07000000007</v>
      </c>
      <c r="X166" s="99" t="s">
        <v>4453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6">AK166+AL167</f>
        <v>212</v>
      </c>
      <c r="AM166" s="99">
        <f t="shared" ref="AM166:AM194" si="37">AJ166*AL166</f>
        <v>364817444</v>
      </c>
      <c r="AN166" s="99" t="s">
        <v>4314</v>
      </c>
    </row>
    <row r="167" spans="16:40">
      <c r="P167" s="114"/>
      <c r="Q167" s="99" t="s">
        <v>4471</v>
      </c>
      <c r="R167" s="95">
        <v>686222</v>
      </c>
      <c r="T167" s="168" t="s">
        <v>4511</v>
      </c>
      <c r="U167" s="168">
        <v>9301</v>
      </c>
      <c r="V167" s="113">
        <v>243.93</v>
      </c>
      <c r="W167" s="113">
        <f t="shared" si="35"/>
        <v>2268792.9300000002</v>
      </c>
      <c r="X167" s="99" t="s">
        <v>452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6"/>
        <v>161</v>
      </c>
      <c r="AM167" s="99">
        <f t="shared" si="37"/>
        <v>24150000</v>
      </c>
      <c r="AN167" s="99"/>
    </row>
    <row r="168" spans="16:40">
      <c r="Q168" s="99" t="s">
        <v>4706</v>
      </c>
      <c r="R168" s="95">
        <v>0</v>
      </c>
      <c r="T168" s="168" t="s">
        <v>4518</v>
      </c>
      <c r="U168" s="168">
        <v>8334</v>
      </c>
      <c r="V168" s="113">
        <v>239.97</v>
      </c>
      <c r="W168" s="113">
        <f t="shared" si="35"/>
        <v>1999909.98</v>
      </c>
      <c r="X168" s="99" t="s">
        <v>4453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6"/>
        <v>158</v>
      </c>
      <c r="AM168" s="99">
        <f t="shared" si="37"/>
        <v>-15010000</v>
      </c>
      <c r="AN168" s="99"/>
    </row>
    <row r="169" spans="16:40">
      <c r="Q169" s="99" t="s">
        <v>4759</v>
      </c>
      <c r="R169" s="95">
        <v>500000</v>
      </c>
      <c r="T169" s="168" t="s">
        <v>4231</v>
      </c>
      <c r="U169" s="168">
        <v>29041</v>
      </c>
      <c r="V169" s="113">
        <v>233.45</v>
      </c>
      <c r="W169" s="113">
        <f t="shared" si="35"/>
        <v>6779621.4499999993</v>
      </c>
      <c r="X169" s="99" t="s">
        <v>751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6"/>
        <v>150</v>
      </c>
      <c r="AM169" s="99">
        <f t="shared" si="37"/>
        <v>472500000</v>
      </c>
      <c r="AN169" s="99"/>
    </row>
    <row r="170" spans="16:40">
      <c r="Q170" s="99" t="s">
        <v>4738</v>
      </c>
      <c r="R170" s="95">
        <v>-16036</v>
      </c>
      <c r="S170" s="115"/>
      <c r="T170" s="168" t="s">
        <v>994</v>
      </c>
      <c r="U170" s="168">
        <v>12337</v>
      </c>
      <c r="V170" s="113">
        <v>243.16300000000001</v>
      </c>
      <c r="W170" s="113">
        <f t="shared" si="35"/>
        <v>2999901.9310000003</v>
      </c>
      <c r="X170" s="99" t="s">
        <v>4453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6"/>
        <v>134</v>
      </c>
      <c r="AM170" s="99">
        <f t="shared" si="37"/>
        <v>-8710000</v>
      </c>
      <c r="AN170" s="99"/>
    </row>
    <row r="171" spans="16:40">
      <c r="Q171" s="99" t="s">
        <v>4463</v>
      </c>
      <c r="R171" s="95">
        <f>SUM(R161:R170)</f>
        <v>824176014.70000005</v>
      </c>
      <c r="S171" s="122"/>
      <c r="T171" s="168" t="s">
        <v>4606</v>
      </c>
      <c r="U171" s="168">
        <v>-16118</v>
      </c>
      <c r="V171" s="113">
        <v>248.17</v>
      </c>
      <c r="W171" s="113">
        <f t="shared" si="35"/>
        <v>-4000004.0599999996</v>
      </c>
      <c r="X171" s="99" t="s">
        <v>751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6"/>
        <v>133</v>
      </c>
      <c r="AM171" s="99">
        <f t="shared" si="37"/>
        <v>-12635000</v>
      </c>
      <c r="AN171" s="99"/>
    </row>
    <row r="172" spans="16:40">
      <c r="Q172" s="96"/>
      <c r="S172" s="115"/>
      <c r="T172" s="168" t="s">
        <v>4637</v>
      </c>
      <c r="U172" s="168">
        <v>101681</v>
      </c>
      <c r="V172" s="113">
        <v>246.5711</v>
      </c>
      <c r="W172" s="113">
        <f t="shared" si="35"/>
        <v>25071596.019099999</v>
      </c>
      <c r="X172" s="99" t="s">
        <v>452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6"/>
        <v>127</v>
      </c>
      <c r="AM172" s="99">
        <f t="shared" si="37"/>
        <v>29464000</v>
      </c>
      <c r="AN172" s="99"/>
    </row>
    <row r="173" spans="16:40">
      <c r="Q173" s="96"/>
      <c r="R173" s="183"/>
      <c r="S173" s="115"/>
      <c r="T173" s="168" t="s">
        <v>4643</v>
      </c>
      <c r="U173" s="168">
        <v>66606</v>
      </c>
      <c r="V173" s="113">
        <v>251.131</v>
      </c>
      <c r="W173" s="113">
        <f t="shared" si="35"/>
        <v>16726831.386</v>
      </c>
      <c r="X173" s="99" t="s">
        <v>751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6"/>
        <v>120</v>
      </c>
      <c r="AM173" s="99">
        <f t="shared" si="37"/>
        <v>1560000000</v>
      </c>
      <c r="AN173" s="99"/>
    </row>
    <row r="174" spans="16:40">
      <c r="Q174" s="96"/>
      <c r="R174" s="183"/>
      <c r="T174" s="168" t="s">
        <v>4650</v>
      </c>
      <c r="U174" s="168">
        <v>172025</v>
      </c>
      <c r="V174" s="113">
        <v>245.52809999999999</v>
      </c>
      <c r="W174" s="113">
        <f t="shared" si="35"/>
        <v>42236971.402499996</v>
      </c>
      <c r="X174" s="99" t="s">
        <v>452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6"/>
        <v>118</v>
      </c>
      <c r="AM174" s="99">
        <f t="shared" si="37"/>
        <v>1180000000</v>
      </c>
      <c r="AN174" s="99"/>
    </row>
    <row r="175" spans="16:40">
      <c r="Q175" s="96"/>
      <c r="R175" s="115"/>
      <c r="T175" s="168" t="s">
        <v>4650</v>
      </c>
      <c r="U175" s="168">
        <v>189227</v>
      </c>
      <c r="V175" s="113">
        <v>245.52809999999999</v>
      </c>
      <c r="W175" s="113">
        <f t="shared" si="35"/>
        <v>46460545.778700002</v>
      </c>
      <c r="X175" s="99" t="s">
        <v>751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6"/>
        <v>115</v>
      </c>
      <c r="AM175" s="99">
        <f t="shared" si="37"/>
        <v>391000000</v>
      </c>
      <c r="AN175" s="99"/>
    </row>
    <row r="176" spans="16:40">
      <c r="T176" s="168" t="s">
        <v>4653</v>
      </c>
      <c r="U176" s="168">
        <v>79720</v>
      </c>
      <c r="V176" s="113">
        <v>246.6568</v>
      </c>
      <c r="W176" s="113">
        <f t="shared" si="35"/>
        <v>19663480.096000001</v>
      </c>
      <c r="X176" s="99" t="s">
        <v>452</v>
      </c>
      <c r="AH176" s="99">
        <v>12</v>
      </c>
      <c r="AI176" s="99" t="s">
        <v>4348</v>
      </c>
      <c r="AJ176" s="117">
        <v>-8736514</v>
      </c>
      <c r="AK176" s="99">
        <v>1</v>
      </c>
      <c r="AL176" s="99">
        <f>AK176+AL177</f>
        <v>106</v>
      </c>
      <c r="AM176" s="99">
        <f t="shared" si="37"/>
        <v>-926070484</v>
      </c>
      <c r="AN176" s="99"/>
    </row>
    <row r="177" spans="17:44">
      <c r="Q177" s="99" t="s">
        <v>4453</v>
      </c>
      <c r="R177" s="99"/>
      <c r="T177" s="168" t="s">
        <v>4653</v>
      </c>
      <c r="U177" s="168">
        <v>79720</v>
      </c>
      <c r="V177" s="113">
        <v>246.6568</v>
      </c>
      <c r="W177" s="113">
        <f t="shared" si="35"/>
        <v>19663480.096000001</v>
      </c>
      <c r="X177" s="99" t="s">
        <v>751</v>
      </c>
      <c r="AH177" s="99">
        <v>13</v>
      </c>
      <c r="AI177" s="99" t="s">
        <v>4349</v>
      </c>
      <c r="AJ177" s="117">
        <v>555000</v>
      </c>
      <c r="AK177" s="99">
        <v>5</v>
      </c>
      <c r="AL177" s="99">
        <f t="shared" ref="AL177:AL193" si="38">AK177+AL178</f>
        <v>105</v>
      </c>
      <c r="AM177" s="99">
        <f t="shared" si="37"/>
        <v>58275000</v>
      </c>
      <c r="AN177" s="99"/>
    </row>
    <row r="178" spans="17:44">
      <c r="Q178" s="36" t="s">
        <v>180</v>
      </c>
      <c r="R178" s="99" t="s">
        <v>267</v>
      </c>
      <c r="T178" s="168" t="s">
        <v>4680</v>
      </c>
      <c r="U178" s="168">
        <v>17769</v>
      </c>
      <c r="V178" s="113">
        <v>246.17877999999999</v>
      </c>
      <c r="W178" s="113">
        <f t="shared" si="35"/>
        <v>4374350.7418200001</v>
      </c>
      <c r="X178" s="99" t="s">
        <v>751</v>
      </c>
      <c r="AH178" s="99">
        <v>14</v>
      </c>
      <c r="AI178" s="99" t="s">
        <v>4373</v>
      </c>
      <c r="AJ178" s="117">
        <v>-448308</v>
      </c>
      <c r="AK178" s="99">
        <v>6</v>
      </c>
      <c r="AL178" s="99">
        <f t="shared" si="38"/>
        <v>100</v>
      </c>
      <c r="AM178" s="99">
        <f t="shared" si="37"/>
        <v>-44830800</v>
      </c>
      <c r="AN178" s="99"/>
    </row>
    <row r="179" spans="17:44">
      <c r="Q179" s="99" t="s">
        <v>4446</v>
      </c>
      <c r="R179" s="95">
        <v>3000000</v>
      </c>
      <c r="T179" s="168" t="s">
        <v>4680</v>
      </c>
      <c r="U179" s="168">
        <v>17769</v>
      </c>
      <c r="V179" s="113">
        <v>246.17877999999999</v>
      </c>
      <c r="W179" s="113">
        <f t="shared" si="35"/>
        <v>4374350.7418200001</v>
      </c>
      <c r="X179" s="99" t="s">
        <v>452</v>
      </c>
      <c r="AH179" s="99">
        <v>15</v>
      </c>
      <c r="AI179" s="99" t="s">
        <v>4405</v>
      </c>
      <c r="AJ179" s="117">
        <v>33225</v>
      </c>
      <c r="AK179" s="99">
        <v>0</v>
      </c>
      <c r="AL179" s="99">
        <f t="shared" si="38"/>
        <v>94</v>
      </c>
      <c r="AM179" s="99">
        <f t="shared" si="37"/>
        <v>3123150</v>
      </c>
      <c r="AN179" s="99"/>
    </row>
    <row r="180" spans="17:44">
      <c r="Q180" s="99" t="s">
        <v>4501</v>
      </c>
      <c r="R180" s="95">
        <v>2000000</v>
      </c>
      <c r="T180" s="168" t="s">
        <v>4686</v>
      </c>
      <c r="U180" s="168">
        <v>12438</v>
      </c>
      <c r="V180" s="113">
        <v>241.20465999999999</v>
      </c>
      <c r="W180" s="113">
        <f t="shared" si="35"/>
        <v>3000103.5610799999</v>
      </c>
      <c r="X180" s="99" t="s">
        <v>4453</v>
      </c>
      <c r="AH180" s="149">
        <v>16</v>
      </c>
      <c r="AI180" s="149" t="s">
        <v>4405</v>
      </c>
      <c r="AJ180" s="190">
        <v>4098523</v>
      </c>
      <c r="AK180" s="149">
        <v>2</v>
      </c>
      <c r="AL180" s="149">
        <f t="shared" si="38"/>
        <v>94</v>
      </c>
      <c r="AM180" s="149">
        <f t="shared" si="37"/>
        <v>385261162</v>
      </c>
      <c r="AN180" s="149" t="s">
        <v>657</v>
      </c>
      <c r="AR180" t="s">
        <v>25</v>
      </c>
    </row>
    <row r="181" spans="17:44">
      <c r="Q181" s="99" t="s">
        <v>4511</v>
      </c>
      <c r="R181" s="95">
        <v>1000000</v>
      </c>
      <c r="T181" s="168" t="s">
        <v>4696</v>
      </c>
      <c r="U181" s="168">
        <v>27363</v>
      </c>
      <c r="V181" s="113">
        <v>239.3886</v>
      </c>
      <c r="W181" s="113">
        <f t="shared" si="35"/>
        <v>6550390.2617999995</v>
      </c>
      <c r="X181" s="99" t="s">
        <v>751</v>
      </c>
      <c r="AH181" s="149">
        <v>17</v>
      </c>
      <c r="AI181" s="149" t="s">
        <v>4419</v>
      </c>
      <c r="AJ181" s="190">
        <v>-1000000</v>
      </c>
      <c r="AK181" s="149">
        <v>7</v>
      </c>
      <c r="AL181" s="149">
        <f t="shared" si="38"/>
        <v>92</v>
      </c>
      <c r="AM181" s="149">
        <f t="shared" si="37"/>
        <v>-92000000</v>
      </c>
      <c r="AN181" s="149" t="s">
        <v>657</v>
      </c>
    </row>
    <row r="182" spans="17:44">
      <c r="Q182" s="99" t="s">
        <v>4518</v>
      </c>
      <c r="R182" s="95">
        <v>2000000</v>
      </c>
      <c r="T182" s="168" t="s">
        <v>4696</v>
      </c>
      <c r="U182" s="168">
        <v>27363</v>
      </c>
      <c r="V182" s="113">
        <v>239.3886</v>
      </c>
      <c r="W182" s="113">
        <f t="shared" si="35"/>
        <v>6550390.2617999995</v>
      </c>
      <c r="X182" s="99" t="s">
        <v>452</v>
      </c>
      <c r="AH182" s="149">
        <v>18</v>
      </c>
      <c r="AI182" s="149" t="s">
        <v>4442</v>
      </c>
      <c r="AJ182" s="190">
        <v>750000</v>
      </c>
      <c r="AK182" s="149">
        <v>1</v>
      </c>
      <c r="AL182" s="149">
        <f t="shared" si="38"/>
        <v>85</v>
      </c>
      <c r="AM182" s="149">
        <f t="shared" si="37"/>
        <v>63750000</v>
      </c>
      <c r="AN182" s="149" t="s">
        <v>657</v>
      </c>
    </row>
    <row r="183" spans="17:44">
      <c r="Q183" s="99" t="s">
        <v>994</v>
      </c>
      <c r="R183" s="95">
        <v>3000000</v>
      </c>
      <c r="T183" s="215" t="s">
        <v>4700</v>
      </c>
      <c r="U183" s="215">
        <v>27437</v>
      </c>
      <c r="V183" s="113">
        <v>242.4015</v>
      </c>
      <c r="W183" s="113">
        <f t="shared" si="35"/>
        <v>6650769.9555000002</v>
      </c>
      <c r="X183" s="99" t="s">
        <v>751</v>
      </c>
      <c r="AH183" s="197">
        <v>19</v>
      </c>
      <c r="AI183" s="197" t="s">
        <v>4444</v>
      </c>
      <c r="AJ183" s="198">
        <v>-604152</v>
      </c>
      <c r="AK183" s="197">
        <v>0</v>
      </c>
      <c r="AL183" s="197">
        <f t="shared" si="38"/>
        <v>84</v>
      </c>
      <c r="AM183" s="197">
        <f t="shared" si="37"/>
        <v>-50748768</v>
      </c>
      <c r="AN183" s="197" t="s">
        <v>657</v>
      </c>
    </row>
    <row r="184" spans="17:44">
      <c r="Q184" s="99" t="s">
        <v>4686</v>
      </c>
      <c r="R184" s="95">
        <v>3000000</v>
      </c>
      <c r="T184" s="215" t="s">
        <v>4700</v>
      </c>
      <c r="U184" s="215">
        <v>29104</v>
      </c>
      <c r="V184" s="113">
        <v>242.4015</v>
      </c>
      <c r="W184" s="113">
        <f t="shared" si="35"/>
        <v>7054853.2560000001</v>
      </c>
      <c r="X184" s="99" t="s">
        <v>452</v>
      </c>
      <c r="AH184" s="99">
        <v>20</v>
      </c>
      <c r="AI184" s="99" t="s">
        <v>4445</v>
      </c>
      <c r="AJ184" s="117">
        <v>-587083</v>
      </c>
      <c r="AK184" s="99">
        <v>4</v>
      </c>
      <c r="AL184" s="99">
        <f t="shared" si="38"/>
        <v>84</v>
      </c>
      <c r="AM184" s="99">
        <f t="shared" si="37"/>
        <v>-49314972</v>
      </c>
      <c r="AN184" s="99"/>
    </row>
    <row r="185" spans="17:44">
      <c r="Q185" s="99"/>
      <c r="R185" s="95"/>
      <c r="T185" s="219" t="s">
        <v>4742</v>
      </c>
      <c r="U185" s="219">
        <v>8991</v>
      </c>
      <c r="V185" s="113">
        <v>238.64867000000001</v>
      </c>
      <c r="W185" s="113">
        <f t="shared" si="35"/>
        <v>2145690.19197</v>
      </c>
      <c r="X185" s="99" t="s">
        <v>751</v>
      </c>
      <c r="Y185" t="s">
        <v>25</v>
      </c>
      <c r="AH185" s="197">
        <v>21</v>
      </c>
      <c r="AI185" s="197" t="s">
        <v>4446</v>
      </c>
      <c r="AJ185" s="198">
        <v>-754351</v>
      </c>
      <c r="AK185" s="197">
        <v>0</v>
      </c>
      <c r="AL185" s="149">
        <f t="shared" si="38"/>
        <v>80</v>
      </c>
      <c r="AM185" s="197">
        <f t="shared" si="37"/>
        <v>-60348080</v>
      </c>
      <c r="AN185" s="197" t="s">
        <v>657</v>
      </c>
    </row>
    <row r="186" spans="17:44">
      <c r="Q186" s="99"/>
      <c r="R186" s="95"/>
      <c r="T186" s="219" t="s">
        <v>4742</v>
      </c>
      <c r="U186" s="219">
        <v>8991</v>
      </c>
      <c r="V186" s="113">
        <v>238.64867000000001</v>
      </c>
      <c r="W186" s="113">
        <f t="shared" si="35"/>
        <v>2145690.19197</v>
      </c>
      <c r="X186" s="99" t="s">
        <v>452</v>
      </c>
      <c r="AH186" s="99">
        <v>22</v>
      </c>
      <c r="AI186" s="99" t="s">
        <v>4446</v>
      </c>
      <c r="AJ186" s="117">
        <v>-189619</v>
      </c>
      <c r="AK186" s="99">
        <v>15</v>
      </c>
      <c r="AL186" s="99">
        <f t="shared" si="38"/>
        <v>80</v>
      </c>
      <c r="AM186" s="99">
        <f t="shared" si="37"/>
        <v>-15169520</v>
      </c>
      <c r="AN186" s="99"/>
    </row>
    <row r="187" spans="17:44">
      <c r="Q187" s="99"/>
      <c r="R187" s="95">
        <f>SUM(R179:R185)</f>
        <v>14000000</v>
      </c>
      <c r="T187" s="219" t="s">
        <v>4758</v>
      </c>
      <c r="U187" s="219">
        <v>18170</v>
      </c>
      <c r="V187" s="113">
        <v>240.48475999999999</v>
      </c>
      <c r="W187" s="113">
        <f t="shared" si="35"/>
        <v>4369608.0892000003</v>
      </c>
      <c r="X187" s="99" t="s">
        <v>751</v>
      </c>
      <c r="Z187" t="s">
        <v>25</v>
      </c>
      <c r="AH187" s="197">
        <v>23</v>
      </c>
      <c r="AI187" s="197" t="s">
        <v>4522</v>
      </c>
      <c r="AJ187" s="190">
        <v>7100</v>
      </c>
      <c r="AK187" s="197">
        <v>0</v>
      </c>
      <c r="AL187" s="149">
        <f t="shared" si="38"/>
        <v>65</v>
      </c>
      <c r="AM187" s="197">
        <f t="shared" si="37"/>
        <v>461500</v>
      </c>
      <c r="AN187" s="197" t="s">
        <v>657</v>
      </c>
    </row>
    <row r="188" spans="17:44">
      <c r="Q188" s="99"/>
      <c r="R188" s="99" t="s">
        <v>6</v>
      </c>
      <c r="S188" t="s">
        <v>25</v>
      </c>
      <c r="T188" s="219" t="s">
        <v>4758</v>
      </c>
      <c r="U188" s="219">
        <v>18170</v>
      </c>
      <c r="V188" s="113">
        <v>240.48475999999999</v>
      </c>
      <c r="W188" s="113">
        <f t="shared" si="35"/>
        <v>4369608.0892000003</v>
      </c>
      <c r="X188" s="99" t="s">
        <v>452</v>
      </c>
      <c r="AH188" s="20">
        <v>24</v>
      </c>
      <c r="AI188" s="20" t="s">
        <v>4522</v>
      </c>
      <c r="AJ188" s="117">
        <v>-147902</v>
      </c>
      <c r="AK188" s="20">
        <v>3</v>
      </c>
      <c r="AL188" s="99">
        <f t="shared" si="38"/>
        <v>65</v>
      </c>
      <c r="AM188" s="20">
        <f t="shared" si="37"/>
        <v>-9613630</v>
      </c>
      <c r="AN188" s="20"/>
    </row>
    <row r="189" spans="17:44">
      <c r="T189" s="219" t="s">
        <v>4763</v>
      </c>
      <c r="U189" s="219">
        <v>36797</v>
      </c>
      <c r="V189" s="113">
        <v>239.0822</v>
      </c>
      <c r="W189" s="113">
        <f t="shared" si="35"/>
        <v>8797507.7134000007</v>
      </c>
      <c r="X189" s="99" t="s">
        <v>751</v>
      </c>
      <c r="AH189" s="149">
        <v>25</v>
      </c>
      <c r="AI189" s="149" t="s">
        <v>4530</v>
      </c>
      <c r="AJ189" s="190">
        <v>-37200</v>
      </c>
      <c r="AK189" s="149">
        <v>4</v>
      </c>
      <c r="AL189" s="149">
        <f t="shared" si="38"/>
        <v>62</v>
      </c>
      <c r="AM189" s="197">
        <f t="shared" si="37"/>
        <v>-2306400</v>
      </c>
      <c r="AN189" s="149" t="s">
        <v>657</v>
      </c>
    </row>
    <row r="190" spans="17:44">
      <c r="Q190" s="96"/>
      <c r="R190" s="96"/>
      <c r="T190" s="219" t="s">
        <v>4763</v>
      </c>
      <c r="U190" s="219">
        <v>36797</v>
      </c>
      <c r="V190" s="113">
        <v>239.0822</v>
      </c>
      <c r="W190" s="113">
        <f t="shared" si="35"/>
        <v>8797507.7134000007</v>
      </c>
      <c r="X190" s="99" t="s">
        <v>452</v>
      </c>
      <c r="AH190" s="99">
        <v>26</v>
      </c>
      <c r="AI190" s="99" t="s">
        <v>4562</v>
      </c>
      <c r="AJ190" s="117">
        <v>-372326</v>
      </c>
      <c r="AK190" s="99">
        <v>21</v>
      </c>
      <c r="AL190" s="99">
        <f t="shared" si="38"/>
        <v>58</v>
      </c>
      <c r="AM190" s="20">
        <f t="shared" si="37"/>
        <v>-21594908</v>
      </c>
      <c r="AN190" s="99"/>
    </row>
    <row r="191" spans="17:44">
      <c r="Q191" s="96"/>
      <c r="R191" s="96"/>
      <c r="T191" s="219" t="s">
        <v>4774</v>
      </c>
      <c r="U191" s="219">
        <v>28066</v>
      </c>
      <c r="V191" s="113">
        <v>237.56970000000001</v>
      </c>
      <c r="W191" s="113">
        <f t="shared" si="35"/>
        <v>6667631.2002000008</v>
      </c>
      <c r="X191" s="99" t="s">
        <v>751</v>
      </c>
      <c r="Y191" t="s">
        <v>25</v>
      </c>
      <c r="AH191" s="99">
        <v>27</v>
      </c>
      <c r="AI191" s="99" t="s">
        <v>4622</v>
      </c>
      <c r="AJ191" s="117">
        <v>235062</v>
      </c>
      <c r="AK191" s="99">
        <v>0</v>
      </c>
      <c r="AL191" s="99">
        <f t="shared" si="38"/>
        <v>37</v>
      </c>
      <c r="AM191" s="20">
        <f t="shared" si="37"/>
        <v>8697294</v>
      </c>
      <c r="AN191" s="99"/>
    </row>
    <row r="192" spans="17:44">
      <c r="T192" s="219" t="s">
        <v>4774</v>
      </c>
      <c r="U192" s="219">
        <v>28066</v>
      </c>
      <c r="V192" s="113">
        <v>237.56970000000001</v>
      </c>
      <c r="W192" s="113">
        <f t="shared" si="35"/>
        <v>6667631.2002000008</v>
      </c>
      <c r="X192" s="99" t="s">
        <v>452</v>
      </c>
      <c r="AH192" s="149">
        <v>28</v>
      </c>
      <c r="AI192" s="149" t="s">
        <v>4622</v>
      </c>
      <c r="AJ192" s="190">
        <v>235062</v>
      </c>
      <c r="AK192" s="149">
        <v>9</v>
      </c>
      <c r="AL192" s="99">
        <f t="shared" si="38"/>
        <v>37</v>
      </c>
      <c r="AM192" s="149">
        <f t="shared" si="37"/>
        <v>8697294</v>
      </c>
      <c r="AN192" s="149" t="s">
        <v>657</v>
      </c>
    </row>
    <row r="193" spans="17:44">
      <c r="Q193" s="99" t="s">
        <v>751</v>
      </c>
      <c r="R193" s="99"/>
      <c r="T193" s="219" t="s">
        <v>3684</v>
      </c>
      <c r="U193" s="219">
        <v>37457</v>
      </c>
      <c r="V193" s="113">
        <v>239.77</v>
      </c>
      <c r="W193" s="113">
        <f t="shared" si="35"/>
        <v>8981064.8900000006</v>
      </c>
      <c r="X193" s="99" t="s">
        <v>751</v>
      </c>
      <c r="AH193" s="149">
        <v>29</v>
      </c>
      <c r="AI193" s="149" t="s">
        <v>4653</v>
      </c>
      <c r="AJ193" s="190">
        <v>450000</v>
      </c>
      <c r="AK193" s="149">
        <v>0</v>
      </c>
      <c r="AL193" s="99">
        <f t="shared" si="38"/>
        <v>28</v>
      </c>
      <c r="AM193" s="149">
        <f t="shared" si="37"/>
        <v>12600000</v>
      </c>
      <c r="AN193" s="149" t="s">
        <v>657</v>
      </c>
    </row>
    <row r="194" spans="17:44">
      <c r="Q194" s="99" t="s">
        <v>4446</v>
      </c>
      <c r="R194" s="95">
        <v>172908000</v>
      </c>
      <c r="T194" s="219" t="s">
        <v>3684</v>
      </c>
      <c r="U194" s="219">
        <v>37457</v>
      </c>
      <c r="V194" s="113">
        <v>239.77</v>
      </c>
      <c r="W194" s="113">
        <f t="shared" si="35"/>
        <v>8981064.8900000006</v>
      </c>
      <c r="X194" s="99" t="s">
        <v>452</v>
      </c>
      <c r="AH194" s="20">
        <v>30</v>
      </c>
      <c r="AI194" s="20" t="s">
        <v>4653</v>
      </c>
      <c r="AJ194" s="117">
        <v>450000</v>
      </c>
      <c r="AK194" s="20">
        <v>22</v>
      </c>
      <c r="AL194" s="99">
        <f>AK194+AL195</f>
        <v>28</v>
      </c>
      <c r="AM194" s="20">
        <f t="shared" si="37"/>
        <v>12600000</v>
      </c>
      <c r="AN194" s="20"/>
    </row>
    <row r="195" spans="17:44">
      <c r="Q195" s="99" t="s">
        <v>4487</v>
      </c>
      <c r="R195" s="95">
        <v>1400000</v>
      </c>
      <c r="T195" s="219" t="s">
        <v>4788</v>
      </c>
      <c r="U195" s="219">
        <v>38412</v>
      </c>
      <c r="V195" s="113">
        <v>239.03</v>
      </c>
      <c r="W195" s="113">
        <f t="shared" si="35"/>
        <v>9181620.3599999994</v>
      </c>
      <c r="X195" s="99" t="s">
        <v>751</v>
      </c>
      <c r="AH195" s="149">
        <v>31</v>
      </c>
      <c r="AI195" s="149" t="s">
        <v>4763</v>
      </c>
      <c r="AJ195" s="190">
        <v>300000</v>
      </c>
      <c r="AK195" s="149">
        <v>0</v>
      </c>
      <c r="AL195" s="149">
        <f t="shared" ref="AL195:AL197" si="39">AK195+AL196</f>
        <v>6</v>
      </c>
      <c r="AM195" s="149">
        <f t="shared" ref="AM195:AM198" si="40">AJ195*AL195</f>
        <v>1800000</v>
      </c>
      <c r="AN195" s="149"/>
    </row>
    <row r="196" spans="17:44" ht="30">
      <c r="Q196" s="99" t="s">
        <v>4232</v>
      </c>
      <c r="R196" s="95">
        <v>247393</v>
      </c>
      <c r="T196" s="219" t="s">
        <v>4788</v>
      </c>
      <c r="U196" s="219">
        <v>38412</v>
      </c>
      <c r="V196" s="113">
        <v>239.03</v>
      </c>
      <c r="W196" s="113">
        <f t="shared" si="35"/>
        <v>9181620.3599999994</v>
      </c>
      <c r="X196" s="99" t="s">
        <v>452</v>
      </c>
      <c r="AH196" s="121">
        <v>32</v>
      </c>
      <c r="AI196" s="121" t="s">
        <v>4763</v>
      </c>
      <c r="AJ196" s="79">
        <v>288936</v>
      </c>
      <c r="AK196" s="121">
        <v>3</v>
      </c>
      <c r="AL196" s="121">
        <f t="shared" si="39"/>
        <v>6</v>
      </c>
      <c r="AM196" s="121">
        <f t="shared" si="40"/>
        <v>1733616</v>
      </c>
      <c r="AN196" s="210" t="s">
        <v>4776</v>
      </c>
    </row>
    <row r="197" spans="17:44">
      <c r="Q197" s="99" t="s">
        <v>4231</v>
      </c>
      <c r="R197" s="95">
        <v>6780000</v>
      </c>
      <c r="T197" s="219" t="s">
        <v>4799</v>
      </c>
      <c r="U197" s="219">
        <v>49555</v>
      </c>
      <c r="V197" s="113">
        <v>238.345</v>
      </c>
      <c r="W197" s="113">
        <f t="shared" si="35"/>
        <v>11811186.475</v>
      </c>
      <c r="X197" s="99" t="s">
        <v>751</v>
      </c>
      <c r="AH197" s="121">
        <v>33</v>
      </c>
      <c r="AI197" s="121" t="s">
        <v>4774</v>
      </c>
      <c r="AJ197" s="79">
        <v>17962491</v>
      </c>
      <c r="AK197" s="121">
        <v>1</v>
      </c>
      <c r="AL197" s="121">
        <f t="shared" si="39"/>
        <v>3</v>
      </c>
      <c r="AM197" s="121">
        <f t="shared" si="40"/>
        <v>53887473</v>
      </c>
      <c r="AN197" s="121" t="s">
        <v>4781</v>
      </c>
      <c r="AQ197" t="s">
        <v>25</v>
      </c>
    </row>
    <row r="198" spans="17:44">
      <c r="Q198" s="99" t="s">
        <v>4606</v>
      </c>
      <c r="R198" s="95">
        <v>-4000000</v>
      </c>
      <c r="T198" s="219" t="s">
        <v>4799</v>
      </c>
      <c r="U198" s="219">
        <v>49555</v>
      </c>
      <c r="V198" s="113">
        <v>238.345</v>
      </c>
      <c r="W198" s="113">
        <f t="shared" si="35"/>
        <v>11811186.475</v>
      </c>
      <c r="X198" s="99" t="s">
        <v>452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2</v>
      </c>
      <c r="AM198" s="121">
        <f t="shared" si="40"/>
        <v>36727022</v>
      </c>
      <c r="AN198" s="121" t="s">
        <v>4781</v>
      </c>
    </row>
    <row r="199" spans="17:44">
      <c r="Q199" s="99" t="s">
        <v>4643</v>
      </c>
      <c r="R199" s="95">
        <v>16727037</v>
      </c>
      <c r="T199" s="219" t="s">
        <v>4819</v>
      </c>
      <c r="U199" s="219">
        <v>160187</v>
      </c>
      <c r="V199" s="113">
        <v>257.49799999999999</v>
      </c>
      <c r="W199" s="113">
        <f t="shared" si="35"/>
        <v>41247832.126000002</v>
      </c>
      <c r="X199" s="99" t="s">
        <v>751</v>
      </c>
      <c r="AH199" s="121">
        <v>35</v>
      </c>
      <c r="AI199" s="121" t="s">
        <v>4788</v>
      </c>
      <c r="AJ199" s="79">
        <v>23622417</v>
      </c>
      <c r="AK199" s="121">
        <v>5</v>
      </c>
      <c r="AL199" s="121">
        <f t="shared" ref="AL199:AL205" si="41">AK199+AL202</f>
        <v>5</v>
      </c>
      <c r="AM199" s="121">
        <f t="shared" ref="AM199:AM205" si="42">AJ199*AL199</f>
        <v>118112085</v>
      </c>
      <c r="AN199" s="121" t="s">
        <v>4798</v>
      </c>
    </row>
    <row r="200" spans="17:44">
      <c r="Q200" s="99" t="s">
        <v>4650</v>
      </c>
      <c r="R200" s="95">
        <v>46460683</v>
      </c>
      <c r="T200" s="219" t="s">
        <v>4819</v>
      </c>
      <c r="U200" s="219">
        <v>160187</v>
      </c>
      <c r="V200" s="113">
        <v>257.49799999999999</v>
      </c>
      <c r="W200" s="113">
        <f t="shared" si="35"/>
        <v>41247832.126000002</v>
      </c>
      <c r="X200" s="99" t="s">
        <v>452</v>
      </c>
      <c r="AH200" s="121">
        <v>36</v>
      </c>
      <c r="AI200" s="121" t="s">
        <v>4817</v>
      </c>
      <c r="AJ200" s="79">
        <v>82496108</v>
      </c>
      <c r="AK200" s="121">
        <v>1</v>
      </c>
      <c r="AL200" s="121">
        <f t="shared" si="41"/>
        <v>1</v>
      </c>
      <c r="AM200" s="121">
        <f t="shared" si="42"/>
        <v>82496108</v>
      </c>
      <c r="AN200" s="121" t="s">
        <v>4820</v>
      </c>
      <c r="AR200" t="s">
        <v>25</v>
      </c>
    </row>
    <row r="201" spans="17:44">
      <c r="Q201" s="99" t="s">
        <v>4653</v>
      </c>
      <c r="R201" s="95">
        <v>19663646</v>
      </c>
      <c r="S201" t="s">
        <v>25</v>
      </c>
      <c r="T201" s="219" t="s">
        <v>4829</v>
      </c>
      <c r="U201" s="219">
        <v>144401</v>
      </c>
      <c r="V201" s="113">
        <v>258.5061</v>
      </c>
      <c r="W201" s="113">
        <f t="shared" si="35"/>
        <v>37328539.346100003</v>
      </c>
      <c r="X201" s="99" t="s">
        <v>751</v>
      </c>
      <c r="AH201" s="121">
        <v>37</v>
      </c>
      <c r="AI201" s="121" t="s">
        <v>4819</v>
      </c>
      <c r="AJ201" s="79">
        <v>74657561</v>
      </c>
      <c r="AK201" s="121">
        <v>1</v>
      </c>
      <c r="AL201" s="121">
        <f t="shared" si="41"/>
        <v>1</v>
      </c>
      <c r="AM201" s="121">
        <f t="shared" si="42"/>
        <v>74657561</v>
      </c>
      <c r="AN201" s="121" t="s">
        <v>4828</v>
      </c>
    </row>
    <row r="202" spans="17:44">
      <c r="Q202" s="99" t="s">
        <v>4680</v>
      </c>
      <c r="R202" s="95">
        <v>4374525</v>
      </c>
      <c r="T202" s="219" t="s">
        <v>4829</v>
      </c>
      <c r="U202" s="219">
        <v>144401</v>
      </c>
      <c r="V202" s="113">
        <v>258.5061</v>
      </c>
      <c r="W202" s="113">
        <f t="shared" si="35"/>
        <v>37328539.346100003</v>
      </c>
      <c r="X202" s="99" t="s">
        <v>452</v>
      </c>
      <c r="AH202" s="99"/>
      <c r="AI202" s="99"/>
      <c r="AJ202" s="117"/>
      <c r="AK202" s="99"/>
      <c r="AL202" s="99">
        <f t="shared" si="41"/>
        <v>0</v>
      </c>
      <c r="AM202" s="20">
        <f t="shared" si="42"/>
        <v>0</v>
      </c>
      <c r="AN202" s="99"/>
    </row>
    <row r="203" spans="17:44">
      <c r="Q203" s="99" t="s">
        <v>4696</v>
      </c>
      <c r="R203" s="95">
        <v>6550580</v>
      </c>
      <c r="T203" s="168" t="s">
        <v>4839</v>
      </c>
      <c r="U203" s="168">
        <v>196500</v>
      </c>
      <c r="V203" s="113">
        <v>254.452</v>
      </c>
      <c r="W203" s="113">
        <f t="shared" si="35"/>
        <v>49999818</v>
      </c>
      <c r="X203" s="99" t="s">
        <v>4847</v>
      </c>
      <c r="AH203" s="99"/>
      <c r="AI203" s="99"/>
      <c r="AJ203" s="117"/>
      <c r="AK203" s="99"/>
      <c r="AL203" s="99">
        <f t="shared" si="41"/>
        <v>0</v>
      </c>
      <c r="AM203" s="20">
        <f t="shared" si="42"/>
        <v>0</v>
      </c>
      <c r="AN203" s="99"/>
    </row>
    <row r="204" spans="17:44">
      <c r="Q204" s="99" t="s">
        <v>4700</v>
      </c>
      <c r="R204" s="95">
        <v>6650895</v>
      </c>
      <c r="T204" s="219" t="s">
        <v>4839</v>
      </c>
      <c r="U204" s="219">
        <v>2561</v>
      </c>
      <c r="V204" s="113">
        <v>254.536</v>
      </c>
      <c r="W204" s="113">
        <f t="shared" si="35"/>
        <v>651866.696</v>
      </c>
      <c r="X204" s="99" t="s">
        <v>4848</v>
      </c>
      <c r="AH204" s="99"/>
      <c r="AI204" s="99"/>
      <c r="AJ204" s="117"/>
      <c r="AK204" s="99"/>
      <c r="AL204" s="99">
        <f t="shared" si="41"/>
        <v>0</v>
      </c>
      <c r="AM204" s="20">
        <f t="shared" si="42"/>
        <v>0</v>
      </c>
      <c r="AN204" s="99"/>
    </row>
    <row r="205" spans="17:44">
      <c r="Q205" s="99" t="s">
        <v>4742</v>
      </c>
      <c r="R205" s="95">
        <v>2145814</v>
      </c>
      <c r="S205" t="s">
        <v>25</v>
      </c>
      <c r="T205" s="168"/>
      <c r="U205" s="168"/>
      <c r="V205" s="113"/>
      <c r="W205" s="113"/>
      <c r="X205" s="99"/>
      <c r="AH205" s="99"/>
      <c r="AI205" s="99"/>
      <c r="AJ205" s="117"/>
      <c r="AK205" s="99"/>
      <c r="AL205" s="99">
        <f t="shared" si="41"/>
        <v>0</v>
      </c>
      <c r="AM205" s="99">
        <f t="shared" si="42"/>
        <v>0</v>
      </c>
      <c r="AN205" s="99"/>
    </row>
    <row r="206" spans="17:44">
      <c r="Q206" s="99" t="s">
        <v>4758</v>
      </c>
      <c r="R206" s="95">
        <v>4369730</v>
      </c>
      <c r="T206" s="168"/>
      <c r="U206" s="168">
        <f>SUM(U161:U205)</f>
        <v>3206996</v>
      </c>
      <c r="V206" s="99"/>
      <c r="W206" s="99"/>
      <c r="X206" s="99"/>
      <c r="AH206" s="99"/>
      <c r="AI206" s="99"/>
      <c r="AJ206" s="95">
        <f>SUM(AJ165:AJ205)</f>
        <v>246581198</v>
      </c>
      <c r="AK206" s="99"/>
      <c r="AL206" s="99"/>
      <c r="AM206" s="99">
        <f>SUM(AM165:AM205)</f>
        <v>4397403627</v>
      </c>
      <c r="AN206" s="95">
        <f>AM206*AN151/31</f>
        <v>2837034.5980645162</v>
      </c>
    </row>
    <row r="207" spans="17:44">
      <c r="Q207" s="99" t="s">
        <v>4763</v>
      </c>
      <c r="R207" s="95">
        <v>8739459</v>
      </c>
      <c r="T207" s="99"/>
      <c r="U207" s="99" t="s">
        <v>6</v>
      </c>
      <c r="V207" s="99"/>
      <c r="W207" s="99"/>
      <c r="X207" s="99"/>
      <c r="AJ207" t="s">
        <v>4059</v>
      </c>
      <c r="AM207" t="s">
        <v>284</v>
      </c>
      <c r="AN207" t="s">
        <v>943</v>
      </c>
    </row>
    <row r="208" spans="17:44">
      <c r="Q208" s="99" t="s">
        <v>4774</v>
      </c>
      <c r="R208" s="95">
        <v>6667654</v>
      </c>
      <c r="T208" s="202" t="s">
        <v>4490</v>
      </c>
    </row>
    <row r="209" spans="17:44">
      <c r="Q209" s="99" t="s">
        <v>4782</v>
      </c>
      <c r="R209" s="95">
        <v>8981245</v>
      </c>
      <c r="T209" s="201">
        <f>R171/U206</f>
        <v>256.99315331232094</v>
      </c>
      <c r="AI209" t="s">
        <v>4061</v>
      </c>
      <c r="AJ209" s="114">
        <f>AJ206+AN206</f>
        <v>249418232.59806451</v>
      </c>
      <c r="AR209" t="s">
        <v>25</v>
      </c>
    </row>
    <row r="210" spans="17:44">
      <c r="Q210" s="99" t="s">
        <v>4788</v>
      </c>
      <c r="R210" s="95">
        <v>9181756</v>
      </c>
      <c r="W210" s="114"/>
      <c r="AI210" t="s">
        <v>4064</v>
      </c>
      <c r="AJ210" s="114">
        <f>SUM(N20:N31)</f>
        <v>251518851</v>
      </c>
      <c r="AQ210" t="s">
        <v>25</v>
      </c>
    </row>
    <row r="211" spans="17:44">
      <c r="Q211" s="99" t="s">
        <v>4799</v>
      </c>
      <c r="R211" s="95">
        <v>11811208</v>
      </c>
      <c r="U211" s="96" t="s">
        <v>267</v>
      </c>
      <c r="V211" t="s">
        <v>4491</v>
      </c>
      <c r="AI211" t="s">
        <v>4136</v>
      </c>
      <c r="AJ211" s="114">
        <f>AJ210-AJ206</f>
        <v>4937653</v>
      </c>
    </row>
    <row r="212" spans="17:44">
      <c r="Q212" s="99" t="s">
        <v>4819</v>
      </c>
      <c r="R212" s="95">
        <v>41248054</v>
      </c>
      <c r="S212" t="s">
        <v>25</v>
      </c>
      <c r="T212" s="114"/>
      <c r="U212" s="113">
        <v>652000</v>
      </c>
      <c r="V212">
        <f>U212/T209</f>
        <v>2537.0325691425392</v>
      </c>
      <c r="X212" t="s">
        <v>25</v>
      </c>
      <c r="AI212" t="s">
        <v>943</v>
      </c>
      <c r="AJ212" s="114">
        <f>AN206</f>
        <v>2837034.5980645162</v>
      </c>
    </row>
    <row r="213" spans="17:44">
      <c r="Q213" s="99" t="s">
        <v>4829</v>
      </c>
      <c r="R213" s="95">
        <v>37328780</v>
      </c>
      <c r="X213" t="s">
        <v>25</v>
      </c>
      <c r="AI213" t="s">
        <v>4065</v>
      </c>
      <c r="AJ213" s="114">
        <f>AJ211-AJ212</f>
        <v>2100618.4019354838</v>
      </c>
      <c r="AN213" t="s">
        <v>25</v>
      </c>
    </row>
    <row r="214" spans="17:44">
      <c r="Q214" s="99"/>
      <c r="R214" s="95"/>
      <c r="W214" s="229">
        <v>74657561</v>
      </c>
      <c r="X214" s="96">
        <f>W214/2</f>
        <v>37328780.5</v>
      </c>
      <c r="Y214" s="96">
        <f>W214/15</f>
        <v>4977170.7333333334</v>
      </c>
      <c r="AN214" t="s">
        <v>25</v>
      </c>
    </row>
    <row r="215" spans="17:44">
      <c r="Q215" s="99"/>
      <c r="R215" s="95">
        <f>SUM(R194:R214)</f>
        <v>408236459</v>
      </c>
    </row>
    <row r="216" spans="17:44">
      <c r="Q216" s="99"/>
      <c r="R216" s="99" t="s">
        <v>6</v>
      </c>
    </row>
    <row r="217" spans="17:44" ht="60">
      <c r="S217" t="s">
        <v>25</v>
      </c>
      <c r="T217" s="22" t="s">
        <v>4474</v>
      </c>
      <c r="X217" t="s">
        <v>25</v>
      </c>
    </row>
    <row r="218" spans="17:44" ht="45">
      <c r="T218" s="22" t="s">
        <v>4475</v>
      </c>
    </row>
    <row r="219" spans="17:44">
      <c r="Q219" s="99" t="s">
        <v>452</v>
      </c>
      <c r="R219" s="99"/>
    </row>
    <row r="220" spans="17:44">
      <c r="Q220" s="99" t="s">
        <v>4446</v>
      </c>
      <c r="R220" s="95">
        <v>63115000</v>
      </c>
    </row>
    <row r="221" spans="17:44">
      <c r="Q221" s="99" t="s">
        <v>4501</v>
      </c>
      <c r="R221" s="95">
        <v>13300000</v>
      </c>
      <c r="T221" s="99" t="s">
        <v>4492</v>
      </c>
      <c r="U221" s="99" t="s">
        <v>4463</v>
      </c>
      <c r="V221" s="99" t="s">
        <v>953</v>
      </c>
    </row>
    <row r="222" spans="17:44">
      <c r="Q222" s="99" t="s">
        <v>4511</v>
      </c>
      <c r="R222" s="95">
        <v>2269000</v>
      </c>
      <c r="T222" s="95">
        <f>R187+R215+R240</f>
        <v>786346401</v>
      </c>
      <c r="U222" s="95">
        <f>R171</f>
        <v>824176014.70000005</v>
      </c>
      <c r="V222" s="95">
        <f>U222-T222</f>
        <v>37829613.700000048</v>
      </c>
    </row>
    <row r="223" spans="17:44">
      <c r="Q223" s="99" t="s">
        <v>4637</v>
      </c>
      <c r="R223" s="95">
        <v>25071612</v>
      </c>
    </row>
    <row r="224" spans="17:44">
      <c r="Q224" s="99" t="s">
        <v>4650</v>
      </c>
      <c r="R224" s="95">
        <v>42236984</v>
      </c>
    </row>
    <row r="225" spans="17:20">
      <c r="Q225" s="99" t="s">
        <v>4653</v>
      </c>
      <c r="R225" s="95">
        <v>19663646</v>
      </c>
    </row>
    <row r="226" spans="17:20">
      <c r="Q226" s="99" t="s">
        <v>4680</v>
      </c>
      <c r="R226" s="95">
        <v>4374525</v>
      </c>
    </row>
    <row r="227" spans="17:20">
      <c r="Q227" s="99" t="s">
        <v>4696</v>
      </c>
      <c r="R227" s="95">
        <v>6550580</v>
      </c>
      <c r="T227" t="s">
        <v>25</v>
      </c>
    </row>
    <row r="228" spans="17:20">
      <c r="Q228" s="99" t="s">
        <v>4700</v>
      </c>
      <c r="R228" s="95">
        <v>7054895</v>
      </c>
      <c r="T228" t="s">
        <v>25</v>
      </c>
    </row>
    <row r="229" spans="17:20">
      <c r="Q229" s="99" t="s">
        <v>4742</v>
      </c>
      <c r="R229" s="95">
        <v>2145814</v>
      </c>
    </row>
    <row r="230" spans="17:20">
      <c r="Q230" s="99" t="s">
        <v>4758</v>
      </c>
      <c r="R230" s="95">
        <v>4369730</v>
      </c>
      <c r="T230" t="s">
        <v>25</v>
      </c>
    </row>
    <row r="231" spans="17:20">
      <c r="Q231" s="99" t="s">
        <v>4763</v>
      </c>
      <c r="R231" s="95">
        <v>8739459</v>
      </c>
    </row>
    <row r="232" spans="17:20">
      <c r="Q232" s="99" t="s">
        <v>4774</v>
      </c>
      <c r="R232" s="95">
        <v>6667654</v>
      </c>
    </row>
    <row r="233" spans="17:20">
      <c r="Q233" s="99" t="s">
        <v>3684</v>
      </c>
      <c r="R233" s="95">
        <v>8981245</v>
      </c>
    </row>
    <row r="234" spans="17:20">
      <c r="Q234" s="99" t="s">
        <v>4788</v>
      </c>
      <c r="R234" s="95">
        <v>9181756</v>
      </c>
      <c r="T234" t="s">
        <v>25</v>
      </c>
    </row>
    <row r="235" spans="17:20">
      <c r="Q235" s="99" t="s">
        <v>4799</v>
      </c>
      <c r="R235" s="95">
        <v>11811208</v>
      </c>
      <c r="T235" t="s">
        <v>25</v>
      </c>
    </row>
    <row r="236" spans="17:20">
      <c r="Q236" s="99" t="s">
        <v>4819</v>
      </c>
      <c r="R236" s="95">
        <v>41248054</v>
      </c>
    </row>
    <row r="237" spans="17:20">
      <c r="Q237" s="99" t="s">
        <v>4829</v>
      </c>
      <c r="R237" s="95">
        <v>37328780</v>
      </c>
      <c r="T237" t="s">
        <v>25</v>
      </c>
    </row>
    <row r="238" spans="17:20">
      <c r="Q238" s="99" t="s">
        <v>4839</v>
      </c>
      <c r="R238" s="95">
        <v>50000000</v>
      </c>
      <c r="T238" t="s">
        <v>25</v>
      </c>
    </row>
    <row r="239" spans="17:20">
      <c r="Q239" s="99"/>
      <c r="R239" s="95"/>
    </row>
    <row r="240" spans="17:20">
      <c r="Q240" s="99"/>
      <c r="R240" s="95">
        <f>SUM(R220:R239)</f>
        <v>364109942</v>
      </c>
    </row>
    <row r="241" spans="17:20">
      <c r="Q241" s="99"/>
      <c r="R241" s="99" t="s">
        <v>6</v>
      </c>
    </row>
    <row r="242" spans="17:20">
      <c r="T242" t="s">
        <v>25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125:G1048576 I117:I124 G96:G11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48 S87 S93 S96:S98 S101 S107:S108 S103 S119 S121 S37:S3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6"/>
  <sheetViews>
    <sheetView tabSelected="1" topLeftCell="A43" workbookViewId="0">
      <selection activeCell="D60" sqref="D60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4" t="s">
        <v>4437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4489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4548</v>
      </c>
      <c r="Y1" s="168" t="s">
        <v>950</v>
      </c>
      <c r="Z1" s="168" t="s">
        <v>937</v>
      </c>
      <c r="AA1" s="168" t="s">
        <v>4548</v>
      </c>
      <c r="AB1" s="168" t="s">
        <v>950</v>
      </c>
      <c r="AC1" s="168" t="s">
        <v>937</v>
      </c>
      <c r="AD1" s="168" t="s">
        <v>4660</v>
      </c>
      <c r="AE1" s="168" t="s">
        <v>4661</v>
      </c>
      <c r="AF1" s="99" t="s">
        <v>8</v>
      </c>
    </row>
    <row r="2" spans="1:32">
      <c r="A2" s="99" t="s">
        <v>4243</v>
      </c>
      <c r="B2" s="205">
        <v>1707</v>
      </c>
      <c r="C2" s="207" t="s">
        <v>4625</v>
      </c>
      <c r="D2" s="99" t="s">
        <v>4505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4538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4597</v>
      </c>
      <c r="B3" s="205">
        <v>1184</v>
      </c>
      <c r="C3" s="207" t="s">
        <v>4603</v>
      </c>
      <c r="D3" s="99"/>
      <c r="J3" s="168">
        <v>2</v>
      </c>
      <c r="K3" s="168" t="s">
        <v>4501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4537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0" si="2">AB3/Y3</f>
        <v>0.57449014863463521</v>
      </c>
      <c r="AF3" s="99"/>
    </row>
    <row r="4" spans="1:32">
      <c r="A4" s="99" t="s">
        <v>4598</v>
      </c>
      <c r="B4" s="205">
        <v>1804</v>
      </c>
      <c r="C4" s="207" t="s">
        <v>4604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4539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5"/>
      <c r="C5" s="207"/>
      <c r="D5" s="99"/>
      <c r="J5" s="225">
        <v>4</v>
      </c>
      <c r="K5" s="225" t="s">
        <v>4632</v>
      </c>
      <c r="L5" s="226">
        <v>0</v>
      </c>
      <c r="M5" s="225">
        <v>3</v>
      </c>
      <c r="N5" s="226">
        <f t="shared" ref="N5" si="3">L5*M5</f>
        <v>0</v>
      </c>
      <c r="O5" s="227" t="s">
        <v>4636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5">
        <v>4060000</v>
      </c>
      <c r="C6" s="169">
        <v>4260000</v>
      </c>
      <c r="D6" s="99" t="s">
        <v>4505</v>
      </c>
      <c r="F6" t="s">
        <v>25</v>
      </c>
      <c r="G6" s="96"/>
      <c r="H6" s="96"/>
      <c r="I6" s="96"/>
      <c r="J6" s="168">
        <v>5</v>
      </c>
      <c r="K6" s="168" t="s">
        <v>4637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4643</v>
      </c>
      <c r="X6" s="168" t="s">
        <v>1086</v>
      </c>
      <c r="Y6" s="113">
        <v>4183832</v>
      </c>
      <c r="Z6" s="168">
        <f>AB6*AC6/Y6</f>
        <v>2.132843288162622</v>
      </c>
      <c r="AA6" s="193" t="s">
        <v>4392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4573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4643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4643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4645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4545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4650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4643</v>
      </c>
      <c r="X8" s="168" t="s">
        <v>1086</v>
      </c>
      <c r="Y8" s="113">
        <v>4183832</v>
      </c>
      <c r="Z8" s="168">
        <f t="shared" si="4"/>
        <v>3.2966189847011065</v>
      </c>
      <c r="AA8" s="214" t="s">
        <v>4544</v>
      </c>
      <c r="AB8" s="113">
        <v>4500</v>
      </c>
      <c r="AC8" s="168">
        <v>3065</v>
      </c>
      <c r="AD8" s="214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4591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4650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4650</v>
      </c>
      <c r="X9" s="168" t="s">
        <v>1086</v>
      </c>
      <c r="Y9" s="113">
        <v>4186993</v>
      </c>
      <c r="Z9" s="168">
        <f t="shared" si="4"/>
        <v>0.95852522323299805</v>
      </c>
      <c r="AA9" s="193" t="s">
        <v>4392</v>
      </c>
      <c r="AB9" s="113">
        <v>3322.3</v>
      </c>
      <c r="AC9" s="168">
        <v>1208</v>
      </c>
      <c r="AD9" s="193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4411</v>
      </c>
      <c r="B10" s="205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4653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4650</v>
      </c>
      <c r="X10" s="168" t="s">
        <v>1086</v>
      </c>
      <c r="Y10" s="113">
        <v>4186993</v>
      </c>
      <c r="Z10" s="168">
        <f t="shared" si="4"/>
        <v>3.0092622557525175</v>
      </c>
      <c r="AA10" s="222" t="s">
        <v>4396</v>
      </c>
      <c r="AB10" s="113">
        <v>5249.9</v>
      </c>
      <c r="AC10" s="168">
        <v>2400</v>
      </c>
      <c r="AD10" s="222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5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4653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4653</v>
      </c>
      <c r="X11" s="168" t="s">
        <v>1086</v>
      </c>
      <c r="Y11" s="113">
        <v>4223698</v>
      </c>
      <c r="Z11" s="168">
        <f t="shared" si="4"/>
        <v>11.463347995050782</v>
      </c>
      <c r="AA11" s="222" t="s">
        <v>4396</v>
      </c>
      <c r="AB11" s="113">
        <v>5330</v>
      </c>
      <c r="AC11" s="168">
        <v>9084</v>
      </c>
      <c r="AD11" s="222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4564</v>
      </c>
      <c r="B12" s="205">
        <v>-30829</v>
      </c>
      <c r="C12" s="169"/>
      <c r="D12" s="59" t="s">
        <v>4851</v>
      </c>
      <c r="F12" s="114">
        <v>0</v>
      </c>
      <c r="J12" s="168">
        <v>11</v>
      </c>
      <c r="K12" s="168" t="s">
        <v>4680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4653</v>
      </c>
      <c r="X12" s="168" t="s">
        <v>1086</v>
      </c>
      <c r="Y12" s="113">
        <v>4223698</v>
      </c>
      <c r="Z12" s="168">
        <f t="shared" si="4"/>
        <v>9.4380816762940896</v>
      </c>
      <c r="AA12" s="228" t="s">
        <v>4411</v>
      </c>
      <c r="AB12" s="113">
        <v>498.9</v>
      </c>
      <c r="AC12" s="168">
        <v>79903</v>
      </c>
      <c r="AD12" s="228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5"/>
      <c r="C13" s="169"/>
      <c r="D13" s="99"/>
      <c r="F13" s="114">
        <v>0</v>
      </c>
      <c r="J13" s="168">
        <v>12</v>
      </c>
      <c r="K13" s="168" t="s">
        <v>4680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4669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4627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5"/>
      <c r="C14" s="169"/>
      <c r="D14" s="99"/>
      <c r="F14" s="114">
        <v>0</v>
      </c>
      <c r="J14" s="168">
        <v>13</v>
      </c>
      <c r="K14" s="168" t="s">
        <v>4696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4669</v>
      </c>
      <c r="X14" s="168" t="s">
        <v>1086</v>
      </c>
      <c r="Y14" s="113">
        <v>4369699</v>
      </c>
      <c r="Z14" s="168">
        <f t="shared" si="4"/>
        <v>8.608136716052984</v>
      </c>
      <c r="AA14" s="222" t="s">
        <v>4396</v>
      </c>
      <c r="AB14" s="113">
        <v>5393.6</v>
      </c>
      <c r="AC14" s="168">
        <v>6974</v>
      </c>
      <c r="AD14" s="222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5"/>
      <c r="C15" s="169"/>
      <c r="D15" s="99"/>
      <c r="F15" s="114">
        <f>B12+F7+F8+F9+F10+F11+F12+F13+F14</f>
        <v>-30829</v>
      </c>
      <c r="J15" s="168">
        <v>14</v>
      </c>
      <c r="K15" s="168" t="s">
        <v>4696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4686</v>
      </c>
      <c r="X15" s="168" t="s">
        <v>1086</v>
      </c>
      <c r="Y15" s="113">
        <v>4374000</v>
      </c>
      <c r="Z15" s="168">
        <f t="shared" si="4"/>
        <v>2.0343806584362141</v>
      </c>
      <c r="AA15" s="222" t="s">
        <v>4396</v>
      </c>
      <c r="AB15" s="117">
        <v>5179.5</v>
      </c>
      <c r="AC15" s="19">
        <v>1718</v>
      </c>
      <c r="AD15" s="222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5"/>
      <c r="C16" s="169"/>
      <c r="D16" s="99"/>
      <c r="J16" s="215">
        <v>15</v>
      </c>
      <c r="K16" s="215" t="s">
        <v>4700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4700</v>
      </c>
      <c r="X16" s="168" t="s">
        <v>1086</v>
      </c>
      <c r="Y16" s="113">
        <v>4367053</v>
      </c>
      <c r="Z16" s="168">
        <f t="shared" si="4"/>
        <v>2.1370469055447687</v>
      </c>
      <c r="AA16" s="193" t="s">
        <v>4392</v>
      </c>
      <c r="AB16" s="117">
        <v>3184.1</v>
      </c>
      <c r="AC16" s="19">
        <v>2931</v>
      </c>
      <c r="AD16" s="193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5">
        <v>16</v>
      </c>
      <c r="K17" s="215" t="s">
        <v>4700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217" t="s">
        <v>4700</v>
      </c>
      <c r="X17" s="217" t="s">
        <v>1086</v>
      </c>
      <c r="Y17" s="113">
        <v>4367053</v>
      </c>
      <c r="Z17" s="217">
        <f t="shared" si="4"/>
        <v>0.12751793944337292</v>
      </c>
      <c r="AA17" s="228" t="s">
        <v>4411</v>
      </c>
      <c r="AB17" s="117">
        <v>508.1</v>
      </c>
      <c r="AC17" s="19">
        <v>1096</v>
      </c>
      <c r="AD17" s="228">
        <f>Y17/AB17</f>
        <v>8594.8691202519185</v>
      </c>
      <c r="AE17" s="217">
        <f t="shared" si="2"/>
        <v>1.1634848489358842E-4</v>
      </c>
      <c r="AF17" s="99"/>
    </row>
    <row r="18" spans="1:32">
      <c r="A18" s="99"/>
      <c r="B18" s="205">
        <v>3965000</v>
      </c>
      <c r="C18" s="169"/>
      <c r="D18" s="99" t="s">
        <v>4493</v>
      </c>
      <c r="J18" s="219">
        <v>17</v>
      </c>
      <c r="K18" s="219" t="s">
        <v>4742</v>
      </c>
      <c r="L18" s="169">
        <v>4291628</v>
      </c>
      <c r="M18" s="219">
        <v>0.5</v>
      </c>
      <c r="N18" s="113">
        <v>2145814</v>
      </c>
      <c r="O18" s="99" t="s">
        <v>751</v>
      </c>
      <c r="W18" s="168" t="s">
        <v>4728</v>
      </c>
      <c r="X18" s="168" t="s">
        <v>1086</v>
      </c>
      <c r="Y18" s="113">
        <v>4433930</v>
      </c>
      <c r="Z18" s="168">
        <f t="shared" si="4"/>
        <v>2.9409688470499082</v>
      </c>
      <c r="AA18" s="199" t="s">
        <v>4392</v>
      </c>
      <c r="AB18" s="117">
        <v>3180.5</v>
      </c>
      <c r="AC18" s="19">
        <v>4100</v>
      </c>
      <c r="AD18" s="199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5">
        <v>3880000</v>
      </c>
      <c r="C19" s="169"/>
      <c r="D19" s="99" t="s">
        <v>4500</v>
      </c>
      <c r="J19" s="219">
        <v>18</v>
      </c>
      <c r="K19" s="219" t="s">
        <v>4742</v>
      </c>
      <c r="L19" s="169">
        <v>4291628</v>
      </c>
      <c r="M19" s="219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4728</v>
      </c>
      <c r="X19" s="168" t="s">
        <v>1086</v>
      </c>
      <c r="Y19" s="113">
        <v>4433930</v>
      </c>
      <c r="Z19" s="168">
        <f t="shared" si="4"/>
        <v>0.13984559972755545</v>
      </c>
      <c r="AA19" s="228" t="s">
        <v>4411</v>
      </c>
      <c r="AB19" s="117">
        <v>503.3</v>
      </c>
      <c r="AC19" s="19">
        <v>1232</v>
      </c>
      <c r="AD19" s="228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4506</v>
      </c>
      <c r="B20" s="206"/>
      <c r="C20" s="169">
        <v>3894000</v>
      </c>
      <c r="D20" s="99" t="s">
        <v>4501</v>
      </c>
      <c r="J20" s="219">
        <v>19</v>
      </c>
      <c r="K20" s="219" t="s">
        <v>4758</v>
      </c>
      <c r="L20" s="169">
        <v>4369730</v>
      </c>
      <c r="M20" s="219">
        <v>1</v>
      </c>
      <c r="N20" s="113">
        <f t="shared" ref="N20:N36" si="7">L20*M20</f>
        <v>4369730</v>
      </c>
      <c r="O20" s="99" t="s">
        <v>751</v>
      </c>
      <c r="W20" s="168" t="s">
        <v>4735</v>
      </c>
      <c r="X20" s="168" t="s">
        <v>1086</v>
      </c>
      <c r="Y20" s="113">
        <v>4183832</v>
      </c>
      <c r="Z20" s="219">
        <v>0.24415416297786335</v>
      </c>
      <c r="AA20" s="228" t="s">
        <v>4411</v>
      </c>
      <c r="AB20" s="117">
        <v>501.2</v>
      </c>
      <c r="AC20" s="19">
        <f>Y20*Z20/AB20</f>
        <v>2038.1085395051875</v>
      </c>
      <c r="AD20" s="228">
        <f t="shared" ref="AD20:AD40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5"/>
      <c r="C21" s="169">
        <v>3845000</v>
      </c>
      <c r="D21" s="99" t="s">
        <v>4501</v>
      </c>
      <c r="J21" s="219">
        <v>20</v>
      </c>
      <c r="K21" s="219" t="s">
        <v>4758</v>
      </c>
      <c r="L21" s="169">
        <v>4369730</v>
      </c>
      <c r="M21" s="219">
        <v>1</v>
      </c>
      <c r="N21" s="113">
        <f t="shared" si="7"/>
        <v>4369730</v>
      </c>
      <c r="O21" s="99" t="s">
        <v>452</v>
      </c>
      <c r="R21" t="s">
        <v>25</v>
      </c>
      <c r="W21" s="219" t="s">
        <v>4742</v>
      </c>
      <c r="X21" s="219" t="s">
        <v>1086</v>
      </c>
      <c r="Y21" s="113">
        <v>4183832</v>
      </c>
      <c r="Z21" s="219">
        <v>0.23385260211213069</v>
      </c>
      <c r="AA21" s="228" t="s">
        <v>4411</v>
      </c>
      <c r="AB21" s="117">
        <v>481.7</v>
      </c>
      <c r="AC21" s="19">
        <f>Y21*Z21/AB21</f>
        <v>2031.1397135146358</v>
      </c>
      <c r="AD21" s="228">
        <f t="shared" si="8"/>
        <v>8685.555324891011</v>
      </c>
      <c r="AE21" s="219">
        <f t="shared" si="2"/>
        <v>1.1513368605622787E-4</v>
      </c>
      <c r="AF21" s="99"/>
    </row>
    <row r="22" spans="1:32">
      <c r="A22" s="99"/>
      <c r="B22" s="205"/>
      <c r="C22" s="169">
        <v>3845000</v>
      </c>
      <c r="D22" s="99" t="s">
        <v>4501</v>
      </c>
      <c r="J22" s="168">
        <v>21</v>
      </c>
      <c r="K22" s="168" t="s">
        <v>4760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9" t="s">
        <v>4745</v>
      </c>
      <c r="X22" s="219" t="s">
        <v>1086</v>
      </c>
      <c r="Y22" s="113">
        <v>4291628</v>
      </c>
      <c r="Z22" s="219">
        <f t="shared" ref="Z22:Z40" si="9">AB22*AC22/Y22</f>
        <v>0.94748414820669458</v>
      </c>
      <c r="AA22" s="199" t="s">
        <v>4392</v>
      </c>
      <c r="AB22" s="117">
        <v>3115.9</v>
      </c>
      <c r="AC22" s="19">
        <v>1305</v>
      </c>
      <c r="AD22" s="199">
        <f t="shared" si="8"/>
        <v>1377.3317500561634</v>
      </c>
      <c r="AE22" s="219">
        <f t="shared" si="2"/>
        <v>7.2604149287869312E-4</v>
      </c>
      <c r="AF22" s="99"/>
    </row>
    <row r="23" spans="1:32">
      <c r="A23" s="99"/>
      <c r="B23" s="205"/>
      <c r="C23" s="169">
        <v>3845000</v>
      </c>
      <c r="D23" s="99" t="s">
        <v>4501</v>
      </c>
      <c r="J23" s="219">
        <v>22</v>
      </c>
      <c r="K23" s="219" t="s">
        <v>4760</v>
      </c>
      <c r="L23" s="113">
        <v>4398820</v>
      </c>
      <c r="M23" s="219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4745</v>
      </c>
      <c r="X23" s="168" t="s">
        <v>1086</v>
      </c>
      <c r="Y23" s="113">
        <v>4291628</v>
      </c>
      <c r="Z23" s="219">
        <f t="shared" si="9"/>
        <v>4.7641314671262279E-2</v>
      </c>
      <c r="AA23" s="19" t="s">
        <v>4598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4508</v>
      </c>
      <c r="B24" s="205">
        <v>4020000</v>
      </c>
      <c r="C24" s="169">
        <v>30000</v>
      </c>
      <c r="D24" s="99" t="s">
        <v>4505</v>
      </c>
      <c r="J24" s="225">
        <v>23</v>
      </c>
      <c r="K24" s="225" t="s">
        <v>4760</v>
      </c>
      <c r="L24" s="226">
        <v>4388600</v>
      </c>
      <c r="M24" s="225">
        <v>5</v>
      </c>
      <c r="N24" s="226">
        <f t="shared" si="7"/>
        <v>21943000</v>
      </c>
      <c r="O24" s="227" t="s">
        <v>4775</v>
      </c>
      <c r="W24" s="219" t="s">
        <v>4760</v>
      </c>
      <c r="X24" s="219" t="s">
        <v>1086</v>
      </c>
      <c r="Y24" s="113">
        <v>4369730</v>
      </c>
      <c r="Z24" s="219">
        <f t="shared" si="9"/>
        <v>1.9131203758584627</v>
      </c>
      <c r="AA24" s="199" t="s">
        <v>4392</v>
      </c>
      <c r="AB24" s="117">
        <v>3120.5</v>
      </c>
      <c r="AC24" s="19">
        <v>2679</v>
      </c>
      <c r="AD24" s="199">
        <f t="shared" si="8"/>
        <v>1400.3300753084441</v>
      </c>
      <c r="AE24" s="219">
        <f t="shared" si="2"/>
        <v>7.1411734821144558E-4</v>
      </c>
      <c r="AF24" s="99"/>
    </row>
    <row r="25" spans="1:32">
      <c r="A25" s="99"/>
      <c r="B25" s="205">
        <v>3915000</v>
      </c>
      <c r="C25" s="169"/>
      <c r="D25" s="99" t="s">
        <v>4507</v>
      </c>
      <c r="J25" s="219">
        <v>24</v>
      </c>
      <c r="K25" s="219" t="s">
        <v>4763</v>
      </c>
      <c r="L25" s="113">
        <v>4445103</v>
      </c>
      <c r="M25" s="219">
        <v>1.5</v>
      </c>
      <c r="N25" s="113">
        <f t="shared" si="7"/>
        <v>6667654.5</v>
      </c>
      <c r="O25" s="99" t="s">
        <v>751</v>
      </c>
      <c r="W25" s="219" t="s">
        <v>4763</v>
      </c>
      <c r="X25" s="219" t="s">
        <v>1086</v>
      </c>
      <c r="Y25" s="113">
        <v>4398820</v>
      </c>
      <c r="Z25" s="219">
        <f t="shared" si="9"/>
        <v>3.9898935623644527</v>
      </c>
      <c r="AA25" s="199" t="s">
        <v>4392</v>
      </c>
      <c r="AB25" s="117">
        <v>3112.4</v>
      </c>
      <c r="AC25" s="19">
        <v>5639</v>
      </c>
      <c r="AD25" s="199">
        <f t="shared" si="8"/>
        <v>1413.3209099087521</v>
      </c>
      <c r="AE25" s="219">
        <f t="shared" si="2"/>
        <v>7.0755338931804436E-4</v>
      </c>
      <c r="AF25" s="99"/>
    </row>
    <row r="26" spans="1:32">
      <c r="A26" s="99"/>
      <c r="B26" s="205">
        <v>3821000</v>
      </c>
      <c r="C26" s="169"/>
      <c r="D26" s="99" t="s">
        <v>4511</v>
      </c>
      <c r="J26" s="219">
        <v>25</v>
      </c>
      <c r="K26" s="219" t="s">
        <v>4763</v>
      </c>
      <c r="L26" s="113">
        <v>4445103</v>
      </c>
      <c r="M26" s="219">
        <v>1.5</v>
      </c>
      <c r="N26" s="113">
        <f t="shared" si="7"/>
        <v>6667654.5</v>
      </c>
      <c r="O26" s="99" t="s">
        <v>452</v>
      </c>
      <c r="R26" t="s">
        <v>25</v>
      </c>
      <c r="W26" s="219" t="s">
        <v>4774</v>
      </c>
      <c r="X26" s="219" t="s">
        <v>1086</v>
      </c>
      <c r="Y26" s="113">
        <v>4445103</v>
      </c>
      <c r="Z26" s="219">
        <f>AB26*AC26/Y26</f>
        <v>1.8767484128039327</v>
      </c>
      <c r="AA26" s="228" t="s">
        <v>4411</v>
      </c>
      <c r="AB26" s="117">
        <v>489</v>
      </c>
      <c r="AC26" s="19">
        <v>17060</v>
      </c>
      <c r="AD26" s="228">
        <f t="shared" si="8"/>
        <v>9090.1901840490791</v>
      </c>
      <c r="AE26" s="219">
        <f t="shared" si="2"/>
        <v>1.1000869946095737E-4</v>
      </c>
      <c r="AF26" s="99"/>
    </row>
    <row r="27" spans="1:32">
      <c r="A27" s="99"/>
      <c r="B27" s="205"/>
      <c r="C27" s="169"/>
      <c r="D27" s="99" t="s">
        <v>4519</v>
      </c>
      <c r="J27" s="219">
        <v>26</v>
      </c>
      <c r="K27" s="219" t="s">
        <v>4774</v>
      </c>
      <c r="L27" s="113">
        <v>4490623</v>
      </c>
      <c r="M27" s="219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9" t="s">
        <v>3684</v>
      </c>
      <c r="X27" s="219" t="s">
        <v>1086</v>
      </c>
      <c r="Y27" s="113">
        <v>4490623</v>
      </c>
      <c r="Z27" s="219">
        <f t="shared" si="9"/>
        <v>3.9795864404560346</v>
      </c>
      <c r="AA27" s="228" t="s">
        <v>4411</v>
      </c>
      <c r="AB27" s="219">
        <v>486.4</v>
      </c>
      <c r="AC27" s="219">
        <v>36741</v>
      </c>
      <c r="AD27" s="228">
        <f t="shared" si="8"/>
        <v>9232.3663651315801</v>
      </c>
      <c r="AE27" s="219">
        <f t="shared" si="2"/>
        <v>1.0831459242960275E-4</v>
      </c>
      <c r="AF27" s="99"/>
    </row>
    <row r="28" spans="1:32">
      <c r="A28" s="99" t="s">
        <v>4540</v>
      </c>
      <c r="B28" s="205"/>
      <c r="C28" s="169">
        <v>3421299</v>
      </c>
      <c r="D28" s="99" t="s">
        <v>4231</v>
      </c>
      <c r="J28" s="219">
        <v>27</v>
      </c>
      <c r="K28" s="219" t="s">
        <v>4774</v>
      </c>
      <c r="L28" s="113">
        <v>4490623</v>
      </c>
      <c r="M28" s="219">
        <v>2</v>
      </c>
      <c r="N28" s="113">
        <f t="shared" si="7"/>
        <v>8981246</v>
      </c>
      <c r="O28" s="99" t="s">
        <v>452</v>
      </c>
      <c r="W28" s="219" t="s">
        <v>4788</v>
      </c>
      <c r="X28" s="219" t="s">
        <v>1086</v>
      </c>
      <c r="Y28" s="113">
        <v>4590878</v>
      </c>
      <c r="Z28" s="219">
        <f t="shared" si="9"/>
        <v>2.0741130563696095</v>
      </c>
      <c r="AA28" s="213" t="s">
        <v>4411</v>
      </c>
      <c r="AB28" s="219">
        <v>476.1</v>
      </c>
      <c r="AC28" s="219">
        <v>20000</v>
      </c>
      <c r="AD28" s="213">
        <f t="shared" si="8"/>
        <v>9642.6759084225996</v>
      </c>
      <c r="AE28" s="219">
        <f t="shared" si="2"/>
        <v>1.0370565281848048E-4</v>
      </c>
      <c r="AF28" s="99"/>
    </row>
    <row r="29" spans="1:32">
      <c r="A29" s="99" t="s">
        <v>4569</v>
      </c>
      <c r="B29" s="205"/>
      <c r="C29" s="169">
        <v>3490000</v>
      </c>
      <c r="D29" s="99" t="s">
        <v>4231</v>
      </c>
      <c r="J29" s="219">
        <v>28</v>
      </c>
      <c r="K29" s="219" t="s">
        <v>3684</v>
      </c>
      <c r="L29" s="113">
        <v>4590878</v>
      </c>
      <c r="M29" s="219">
        <v>2</v>
      </c>
      <c r="N29" s="113">
        <f t="shared" si="7"/>
        <v>9181756</v>
      </c>
      <c r="O29" s="99" t="s">
        <v>751</v>
      </c>
      <c r="W29" s="219" t="s">
        <v>4788</v>
      </c>
      <c r="X29" s="219" t="s">
        <v>1086</v>
      </c>
      <c r="Y29" s="113">
        <v>4590878</v>
      </c>
      <c r="Z29" s="219">
        <f t="shared" si="9"/>
        <v>2.3602445980921298</v>
      </c>
      <c r="AA29" s="199" t="s">
        <v>4392</v>
      </c>
      <c r="AB29" s="219">
        <v>3095</v>
      </c>
      <c r="AC29" s="219">
        <v>3501</v>
      </c>
      <c r="AD29" s="199">
        <f t="shared" si="8"/>
        <v>1483.3208400646204</v>
      </c>
      <c r="AE29" s="219">
        <f t="shared" si="2"/>
        <v>6.7416298146019129E-4</v>
      </c>
      <c r="AF29" s="99"/>
    </row>
    <row r="30" spans="1:32">
      <c r="A30" s="99" t="s">
        <v>4570</v>
      </c>
      <c r="B30" s="205"/>
      <c r="C30" s="169">
        <v>271000</v>
      </c>
      <c r="D30" s="99" t="s">
        <v>4566</v>
      </c>
      <c r="J30" s="219">
        <v>29</v>
      </c>
      <c r="K30" s="219" t="s">
        <v>3684</v>
      </c>
      <c r="L30" s="113">
        <v>4590878</v>
      </c>
      <c r="M30" s="219">
        <v>2</v>
      </c>
      <c r="N30" s="113">
        <f t="shared" si="7"/>
        <v>9181756</v>
      </c>
      <c r="O30" s="99" t="s">
        <v>452</v>
      </c>
      <c r="R30" t="s">
        <v>25</v>
      </c>
      <c r="W30" s="219" t="s">
        <v>4788</v>
      </c>
      <c r="X30" s="219" t="s">
        <v>1086</v>
      </c>
      <c r="Y30" s="113">
        <v>4590878</v>
      </c>
      <c r="Z30" s="219">
        <f t="shared" si="9"/>
        <v>0.33907971416360883</v>
      </c>
      <c r="AA30" s="231" t="s">
        <v>4243</v>
      </c>
      <c r="AB30" s="117">
        <v>168.8</v>
      </c>
      <c r="AC30" s="19">
        <v>9222</v>
      </c>
      <c r="AD30" s="231">
        <f t="shared" si="8"/>
        <v>27197.14454976303</v>
      </c>
      <c r="AE30" s="219">
        <f t="shared" si="2"/>
        <v>3.6768565838604295E-5</v>
      </c>
      <c r="AF30" s="99"/>
    </row>
    <row r="31" spans="1:32">
      <c r="A31" s="99" t="s">
        <v>4578</v>
      </c>
      <c r="B31" s="205"/>
      <c r="C31" s="169">
        <v>69700</v>
      </c>
      <c r="D31" s="99" t="s">
        <v>4571</v>
      </c>
      <c r="J31" s="219">
        <v>30</v>
      </c>
      <c r="K31" s="219" t="s">
        <v>4788</v>
      </c>
      <c r="L31" s="113">
        <v>4724483</v>
      </c>
      <c r="M31" s="219">
        <v>2.5</v>
      </c>
      <c r="N31" s="113">
        <f t="shared" si="7"/>
        <v>11811207.5</v>
      </c>
      <c r="O31" s="99" t="s">
        <v>751</v>
      </c>
      <c r="W31" s="219" t="s">
        <v>4788</v>
      </c>
      <c r="X31" s="219" t="s">
        <v>1086</v>
      </c>
      <c r="Y31" s="113">
        <v>4590878</v>
      </c>
      <c r="Z31" s="219">
        <f t="shared" si="9"/>
        <v>1.0887767002303264</v>
      </c>
      <c r="AA31" s="13" t="s">
        <v>4545</v>
      </c>
      <c r="AB31" s="117">
        <v>3859.8</v>
      </c>
      <c r="AC31" s="19">
        <v>1295</v>
      </c>
      <c r="AD31" s="13">
        <f t="shared" si="8"/>
        <v>1189.4082594953106</v>
      </c>
      <c r="AE31" s="219">
        <f t="shared" si="2"/>
        <v>8.4075420867206669E-4</v>
      </c>
      <c r="AF31" s="99"/>
    </row>
    <row r="32" spans="1:32">
      <c r="A32" s="99"/>
      <c r="B32" s="205"/>
      <c r="C32" s="169"/>
      <c r="D32" s="99"/>
      <c r="J32" s="219">
        <v>31</v>
      </c>
      <c r="K32" s="219" t="s">
        <v>4788</v>
      </c>
      <c r="L32" s="113">
        <v>4724483</v>
      </c>
      <c r="M32" s="219">
        <v>2.5</v>
      </c>
      <c r="N32" s="113">
        <f t="shared" si="7"/>
        <v>11811207.5</v>
      </c>
      <c r="O32" s="99" t="s">
        <v>452</v>
      </c>
      <c r="W32" s="219" t="s">
        <v>4799</v>
      </c>
      <c r="X32" s="219" t="s">
        <v>1086</v>
      </c>
      <c r="Y32" s="113">
        <v>4445103</v>
      </c>
      <c r="Z32" s="219">
        <f t="shared" si="9"/>
        <v>1.0998433557107676</v>
      </c>
      <c r="AA32" s="193" t="s">
        <v>4392</v>
      </c>
      <c r="AB32" s="117">
        <v>3069</v>
      </c>
      <c r="AC32" s="219">
        <v>1593</v>
      </c>
      <c r="AD32" s="193">
        <f t="shared" si="8"/>
        <v>1448.3880742913002</v>
      </c>
      <c r="AE32" s="219">
        <f t="shared" si="2"/>
        <v>6.9042269661692874E-4</v>
      </c>
      <c r="AF32" s="99" t="s">
        <v>4802</v>
      </c>
    </row>
    <row r="33" spans="1:32">
      <c r="A33" s="99"/>
      <c r="B33" s="205"/>
      <c r="C33" s="169"/>
      <c r="D33" s="99"/>
      <c r="J33" s="219">
        <v>32</v>
      </c>
      <c r="K33" s="219" t="s">
        <v>4817</v>
      </c>
      <c r="L33" s="113">
        <v>4852712</v>
      </c>
      <c r="M33" s="219">
        <v>8.5</v>
      </c>
      <c r="N33" s="113">
        <f t="shared" si="7"/>
        <v>41248052</v>
      </c>
      <c r="O33" s="99" t="s">
        <v>751</v>
      </c>
      <c r="W33" s="219" t="s">
        <v>4799</v>
      </c>
      <c r="X33" s="219" t="s">
        <v>1086</v>
      </c>
      <c r="Y33" s="113">
        <v>4724483</v>
      </c>
      <c r="Z33" s="219">
        <f t="shared" si="9"/>
        <v>2.1503257816781223</v>
      </c>
      <c r="AA33" s="194" t="s">
        <v>4392</v>
      </c>
      <c r="AB33" s="117">
        <v>3099.2</v>
      </c>
      <c r="AC33" s="219">
        <v>3278</v>
      </c>
      <c r="AD33" s="194">
        <f t="shared" si="8"/>
        <v>1524.4201729478575</v>
      </c>
      <c r="AE33" s="219">
        <f t="shared" si="2"/>
        <v>6.5598712070717572E-4</v>
      </c>
      <c r="AF33" s="99"/>
    </row>
    <row r="34" spans="1:32">
      <c r="A34" s="99"/>
      <c r="B34" s="205"/>
      <c r="C34" s="169"/>
      <c r="D34" s="99"/>
      <c r="I34" t="s">
        <v>25</v>
      </c>
      <c r="J34" s="219">
        <v>33</v>
      </c>
      <c r="K34" s="219" t="s">
        <v>4817</v>
      </c>
      <c r="L34" s="113">
        <v>4852712</v>
      </c>
      <c r="M34" s="219">
        <v>8.5</v>
      </c>
      <c r="N34" s="113">
        <f t="shared" si="7"/>
        <v>41248052</v>
      </c>
      <c r="O34" s="99" t="s">
        <v>452</v>
      </c>
      <c r="W34" s="219" t="s">
        <v>4799</v>
      </c>
      <c r="X34" s="219" t="s">
        <v>1086</v>
      </c>
      <c r="Y34" s="113">
        <v>4724483</v>
      </c>
      <c r="Z34" s="219">
        <f t="shared" si="9"/>
        <v>2.8236157480088302</v>
      </c>
      <c r="AA34" s="5" t="s">
        <v>4545</v>
      </c>
      <c r="AB34" s="117">
        <v>3853.3</v>
      </c>
      <c r="AC34" s="219">
        <v>3462</v>
      </c>
      <c r="AD34" s="5">
        <f t="shared" si="8"/>
        <v>1226.0875094075207</v>
      </c>
      <c r="AE34" s="219">
        <f t="shared" si="2"/>
        <v>8.1560246909556037E-4</v>
      </c>
      <c r="AF34" s="99"/>
    </row>
    <row r="35" spans="1:32">
      <c r="A35" s="99"/>
      <c r="B35" s="169"/>
      <c r="C35" s="169"/>
      <c r="D35" s="99"/>
      <c r="J35" s="219">
        <v>34</v>
      </c>
      <c r="K35" s="219" t="s">
        <v>4819</v>
      </c>
      <c r="L35" s="113">
        <v>4977171</v>
      </c>
      <c r="M35" s="219">
        <v>7.5</v>
      </c>
      <c r="N35" s="113">
        <f t="shared" si="7"/>
        <v>37328782.5</v>
      </c>
      <c r="O35" s="99" t="s">
        <v>751</v>
      </c>
      <c r="W35" s="219" t="s">
        <v>4819</v>
      </c>
      <c r="X35" s="219" t="s">
        <v>1086</v>
      </c>
      <c r="Y35" s="113">
        <v>4852712</v>
      </c>
      <c r="Z35" s="219">
        <f t="shared" si="9"/>
        <v>0.69267922761540357</v>
      </c>
      <c r="AA35" s="199" t="s">
        <v>4392</v>
      </c>
      <c r="AB35" s="117">
        <v>3324.8</v>
      </c>
      <c r="AC35" s="219">
        <v>1011</v>
      </c>
      <c r="AD35" s="199">
        <f t="shared" si="8"/>
        <v>1459.5500481231952</v>
      </c>
      <c r="AE35" s="219">
        <f t="shared" si="2"/>
        <v>6.8514265837329731E-4</v>
      </c>
      <c r="AF35" s="99"/>
    </row>
    <row r="36" spans="1:32">
      <c r="B36" s="58"/>
      <c r="C36" s="58"/>
      <c r="D36" s="115"/>
      <c r="J36" s="219">
        <v>35</v>
      </c>
      <c r="K36" s="219" t="s">
        <v>4819</v>
      </c>
      <c r="L36" s="113">
        <v>4977171</v>
      </c>
      <c r="M36" s="219">
        <v>7.5</v>
      </c>
      <c r="N36" s="113">
        <f t="shared" si="7"/>
        <v>37328782.5</v>
      </c>
      <c r="O36" s="99" t="s">
        <v>452</v>
      </c>
      <c r="R36" s="96"/>
      <c r="W36" s="219" t="s">
        <v>4819</v>
      </c>
      <c r="X36" s="219" t="s">
        <v>1086</v>
      </c>
      <c r="Y36" s="113">
        <v>4852712</v>
      </c>
      <c r="Z36" s="219">
        <f t="shared" si="9"/>
        <v>13.047731721973198</v>
      </c>
      <c r="AA36" s="13" t="s">
        <v>4545</v>
      </c>
      <c r="AB36" s="117">
        <v>4176.3</v>
      </c>
      <c r="AC36" s="219">
        <v>15161</v>
      </c>
      <c r="AD36" s="13">
        <f t="shared" si="8"/>
        <v>1161.9644182649713</v>
      </c>
      <c r="AE36" s="219">
        <f t="shared" si="2"/>
        <v>8.6061155081941813E-4</v>
      </c>
      <c r="AF36" s="99"/>
    </row>
    <row r="37" spans="1:32">
      <c r="B37" t="s">
        <v>25</v>
      </c>
      <c r="J37" s="219"/>
      <c r="K37" s="219"/>
      <c r="L37" s="113"/>
      <c r="M37" s="219"/>
      <c r="N37" s="113"/>
      <c r="O37" s="99"/>
      <c r="W37" s="219" t="s">
        <v>4819</v>
      </c>
      <c r="X37" s="219" t="s">
        <v>1086</v>
      </c>
      <c r="Y37" s="113">
        <v>4852712</v>
      </c>
      <c r="Z37" s="219">
        <f t="shared" si="9"/>
        <v>3.1790291490613911</v>
      </c>
      <c r="AA37" s="228" t="s">
        <v>4411</v>
      </c>
      <c r="AB37" s="117">
        <v>525.1</v>
      </c>
      <c r="AC37" s="219">
        <v>29379</v>
      </c>
      <c r="AD37" s="228">
        <f t="shared" si="8"/>
        <v>9241.5006665397068</v>
      </c>
      <c r="AE37" s="219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9"/>
      <c r="K38" s="219"/>
      <c r="L38" s="113"/>
      <c r="M38" s="219"/>
      <c r="N38" s="113"/>
      <c r="O38" s="99"/>
      <c r="W38" s="219" t="s">
        <v>4829</v>
      </c>
      <c r="X38" s="219" t="s">
        <v>1086</v>
      </c>
      <c r="Y38" s="113">
        <v>4977171</v>
      </c>
      <c r="Z38" s="219">
        <f t="shared" si="9"/>
        <v>6.1346965173589574</v>
      </c>
      <c r="AA38" s="228" t="s">
        <v>4411</v>
      </c>
      <c r="AB38" s="117">
        <v>529.79999999999995</v>
      </c>
      <c r="AC38" s="219">
        <v>57632</v>
      </c>
      <c r="AD38" s="228">
        <f t="shared" si="8"/>
        <v>9394.4337485843716</v>
      </c>
      <c r="AE38" s="219">
        <f t="shared" si="2"/>
        <v>1.0644601119792749E-4</v>
      </c>
      <c r="AF38" s="99"/>
    </row>
    <row r="39" spans="1:32">
      <c r="J39" s="219"/>
      <c r="K39" s="219"/>
      <c r="L39" s="113"/>
      <c r="M39" s="219"/>
      <c r="N39" s="113"/>
      <c r="O39" s="99"/>
      <c r="W39" s="219" t="s">
        <v>4829</v>
      </c>
      <c r="X39" s="219" t="s">
        <v>1086</v>
      </c>
      <c r="Y39" s="113">
        <v>4977171</v>
      </c>
      <c r="Z39" s="219">
        <f t="shared" si="9"/>
        <v>1.084129920390519</v>
      </c>
      <c r="AA39" s="235" t="s">
        <v>4396</v>
      </c>
      <c r="AB39" s="117">
        <v>5395.9</v>
      </c>
      <c r="AC39" s="219">
        <v>1000</v>
      </c>
      <c r="AD39" s="235">
        <f t="shared" si="8"/>
        <v>922.39867306658766</v>
      </c>
      <c r="AE39" s="219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9" t="s">
        <v>4829</v>
      </c>
      <c r="X40" s="219" t="s">
        <v>1086</v>
      </c>
      <c r="Y40" s="113">
        <v>4977171</v>
      </c>
      <c r="Z40" s="219">
        <f t="shared" si="9"/>
        <v>7.7072195831728516</v>
      </c>
      <c r="AA40" s="228" t="s">
        <v>4392</v>
      </c>
      <c r="AB40" s="219">
        <v>3355.8</v>
      </c>
      <c r="AC40" s="219">
        <v>11431</v>
      </c>
      <c r="AD40" s="228">
        <f t="shared" si="8"/>
        <v>1483.1548364026462</v>
      </c>
      <c r="AE40" s="219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19"/>
      <c r="X41" s="219"/>
      <c r="Y41" s="113"/>
      <c r="Z41" s="219"/>
      <c r="AA41" s="228"/>
      <c r="AB41" s="219"/>
      <c r="AC41" s="219"/>
      <c r="AD41" s="228"/>
      <c r="AE41" s="219"/>
      <c r="AF41" s="99"/>
    </row>
    <row r="42" spans="1:32">
      <c r="A42" s="99" t="s">
        <v>180</v>
      </c>
      <c r="B42" s="99" t="s">
        <v>4752</v>
      </c>
      <c r="C42" s="99" t="s">
        <v>4753</v>
      </c>
      <c r="D42" s="99" t="s">
        <v>4754</v>
      </c>
      <c r="E42" s="69" t="s">
        <v>4755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168"/>
      <c r="X42" s="168"/>
      <c r="Y42" s="113"/>
      <c r="Z42" s="168"/>
      <c r="AA42" s="168"/>
      <c r="AB42" s="113"/>
      <c r="AC42" s="168"/>
      <c r="AD42" s="19"/>
      <c r="AE42" s="168"/>
      <c r="AF42" s="99"/>
    </row>
    <row r="43" spans="1:32">
      <c r="A43" s="99" t="s">
        <v>4686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Z43" t="s">
        <v>25</v>
      </c>
      <c r="AC43" t="s">
        <v>25</v>
      </c>
    </row>
    <row r="44" spans="1:32">
      <c r="A44" s="99" t="s">
        <v>4696</v>
      </c>
      <c r="B44" s="95">
        <v>4100000</v>
      </c>
      <c r="C44" s="95">
        <v>4230000</v>
      </c>
      <c r="D44" s="95"/>
      <c r="E44" s="95"/>
      <c r="I44" s="41"/>
      <c r="M44" s="41" t="s">
        <v>4531</v>
      </c>
      <c r="N44" t="s">
        <v>25</v>
      </c>
      <c r="O44" s="229">
        <v>74657561</v>
      </c>
      <c r="R44" t="s">
        <v>25</v>
      </c>
      <c r="Z44" t="s">
        <v>25</v>
      </c>
      <c r="AA44" t="s">
        <v>25</v>
      </c>
    </row>
    <row r="45" spans="1:32">
      <c r="A45" s="99" t="s">
        <v>4700</v>
      </c>
      <c r="B45" s="95">
        <v>4230000</v>
      </c>
      <c r="C45" s="95">
        <v>4330000</v>
      </c>
      <c r="D45" s="95">
        <v>12200</v>
      </c>
      <c r="E45" s="95">
        <v>12350</v>
      </c>
      <c r="W45" s="96"/>
      <c r="X45" s="96"/>
      <c r="Y45" s="96"/>
      <c r="Z45" s="96"/>
      <c r="AA45" s="96"/>
      <c r="AB45" s="96"/>
      <c r="AC45" s="96"/>
      <c r="AD45" s="96"/>
      <c r="AF45" t="s">
        <v>25</v>
      </c>
    </row>
    <row r="46" spans="1:32">
      <c r="A46" s="99" t="s">
        <v>4728</v>
      </c>
      <c r="B46" s="95">
        <v>4270000</v>
      </c>
      <c r="C46" s="95">
        <v>4370000</v>
      </c>
      <c r="D46" s="95"/>
      <c r="E46" s="95"/>
      <c r="W46" s="96"/>
      <c r="X46" s="96"/>
      <c r="Y46" s="96"/>
      <c r="Z46" s="96"/>
      <c r="AA46" s="96"/>
      <c r="AB46" s="96"/>
      <c r="AC46" s="96"/>
      <c r="AD46" s="96"/>
    </row>
    <row r="47" spans="1:32">
      <c r="A47" s="99" t="s">
        <v>4742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96"/>
      <c r="X47" s="96"/>
      <c r="Y47" s="96"/>
      <c r="Z47" s="96"/>
      <c r="AA47" s="96"/>
      <c r="AB47" s="96" t="s">
        <v>25</v>
      </c>
      <c r="AC47" s="96"/>
      <c r="AD47" s="96"/>
    </row>
    <row r="48" spans="1:32">
      <c r="A48" s="99" t="s">
        <v>4745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96"/>
      <c r="X48" s="96"/>
      <c r="Y48" s="96"/>
      <c r="Z48" s="96"/>
      <c r="AA48" s="96"/>
      <c r="AB48" s="96"/>
      <c r="AC48" s="96"/>
      <c r="AD48" s="96"/>
    </row>
    <row r="49" spans="1:30">
      <c r="A49" s="99" t="s">
        <v>4749</v>
      </c>
      <c r="B49" s="95">
        <v>4170000</v>
      </c>
      <c r="C49" s="95">
        <v>4280000</v>
      </c>
      <c r="D49" s="95">
        <v>11750</v>
      </c>
      <c r="E49" s="95">
        <v>11900</v>
      </c>
      <c r="W49" s="96"/>
      <c r="X49" s="96"/>
      <c r="Y49" s="96"/>
      <c r="Z49" s="96"/>
      <c r="AA49" s="96"/>
      <c r="AB49" s="96"/>
      <c r="AC49" s="96"/>
      <c r="AD49" s="96"/>
    </row>
    <row r="50" spans="1:30">
      <c r="A50" s="99" t="s">
        <v>4756</v>
      </c>
      <c r="B50" s="95">
        <v>4130000</v>
      </c>
      <c r="C50" s="95">
        <v>4260000</v>
      </c>
      <c r="D50" s="95">
        <v>11850</v>
      </c>
      <c r="E50" s="95">
        <v>11950</v>
      </c>
      <c r="W50" s="96"/>
      <c r="X50" s="96"/>
      <c r="Y50" s="96"/>
      <c r="Z50" s="96"/>
      <c r="AA50" s="96"/>
      <c r="AB50" s="96"/>
      <c r="AC50" s="96"/>
      <c r="AD50" s="96"/>
    </row>
    <row r="51" spans="1:30">
      <c r="A51" s="99" t="s">
        <v>4758</v>
      </c>
      <c r="B51" s="95">
        <v>4100000</v>
      </c>
      <c r="C51" s="95">
        <v>4220000</v>
      </c>
      <c r="D51" s="95">
        <v>11800</v>
      </c>
      <c r="E51" s="95">
        <v>11980</v>
      </c>
      <c r="AA51" s="96"/>
      <c r="AB51" s="96"/>
      <c r="AC51" s="96"/>
      <c r="AD51" s="96"/>
    </row>
    <row r="52" spans="1:30">
      <c r="A52" s="99" t="s">
        <v>4760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4541</v>
      </c>
      <c r="L52" s="168" t="s">
        <v>1086</v>
      </c>
      <c r="M52" s="168" t="s">
        <v>4243</v>
      </c>
      <c r="N52" s="168" t="s">
        <v>4558</v>
      </c>
      <c r="O52" s="168"/>
      <c r="AA52" s="96"/>
      <c r="AB52" s="96"/>
      <c r="AC52" s="96"/>
      <c r="AD52" s="96" t="s">
        <v>25</v>
      </c>
    </row>
    <row r="53" spans="1:30">
      <c r="A53" s="99" t="s">
        <v>4763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4530</v>
      </c>
      <c r="L53" s="168">
        <v>3390000</v>
      </c>
      <c r="M53" s="168">
        <v>161.4</v>
      </c>
      <c r="N53" s="168">
        <f>L53/M53</f>
        <v>21003.717472118959</v>
      </c>
      <c r="O53" s="168"/>
      <c r="AA53" s="96"/>
      <c r="AB53" s="96"/>
      <c r="AC53" s="96" t="s">
        <v>25</v>
      </c>
      <c r="AD53" s="96"/>
    </row>
    <row r="54" spans="1:30">
      <c r="A54" s="99" t="s">
        <v>4774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AA54" s="96"/>
      <c r="AB54" s="96"/>
      <c r="AC54" s="96"/>
      <c r="AD54" s="96"/>
    </row>
    <row r="55" spans="1:30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0">
      <c r="A56" s="99" t="s">
        <v>4788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 t="s">
        <v>4674</v>
      </c>
      <c r="AA56" s="96"/>
      <c r="AB56" s="96"/>
      <c r="AC56" s="96"/>
      <c r="AD56" s="96"/>
    </row>
    <row r="57" spans="1:30">
      <c r="A57" s="99" t="s">
        <v>4799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 t="s">
        <v>4675</v>
      </c>
      <c r="AA57" s="212">
        <v>35441</v>
      </c>
      <c r="AB57" s="96"/>
      <c r="AC57" s="96"/>
      <c r="AD57" s="96"/>
    </row>
    <row r="58" spans="1:30" ht="120">
      <c r="A58" s="99" t="s">
        <v>4809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W58" s="96"/>
      <c r="X58" s="22" t="s">
        <v>4678</v>
      </c>
      <c r="Y58" s="22" t="s">
        <v>4677</v>
      </c>
      <c r="Z58" s="22" t="s">
        <v>4676</v>
      </c>
      <c r="AA58" s="22" t="s">
        <v>4679</v>
      </c>
    </row>
    <row r="59" spans="1:30">
      <c r="A59" s="99" t="s">
        <v>4817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</row>
    <row r="60" spans="1:30">
      <c r="A60" s="99" t="s">
        <v>4819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</row>
    <row r="61" spans="1:30">
      <c r="A61" s="99" t="s">
        <v>4829</v>
      </c>
      <c r="B61" s="95">
        <v>4700000</v>
      </c>
      <c r="C61" s="95">
        <v>4850000</v>
      </c>
      <c r="D61" s="95">
        <v>13650</v>
      </c>
      <c r="E61" s="95">
        <v>13800</v>
      </c>
    </row>
    <row r="62" spans="1:30">
      <c r="A62" s="99" t="s">
        <v>4839</v>
      </c>
      <c r="B62" s="95">
        <v>4550000</v>
      </c>
      <c r="C62" s="95">
        <v>4750000</v>
      </c>
      <c r="D62" s="95">
        <v>13400</v>
      </c>
      <c r="E62" s="95">
        <v>13500</v>
      </c>
    </row>
    <row r="63" spans="1:30">
      <c r="A63" s="99" t="s">
        <v>4851</v>
      </c>
      <c r="B63" s="95">
        <v>4580000</v>
      </c>
      <c r="C63" s="95">
        <v>4750000</v>
      </c>
      <c r="D63" s="95">
        <v>13350</v>
      </c>
      <c r="E63" s="95">
        <v>13500</v>
      </c>
      <c r="I63" s="99" t="s">
        <v>8</v>
      </c>
      <c r="J63" s="99" t="s">
        <v>4832</v>
      </c>
      <c r="K63" s="99" t="s">
        <v>180</v>
      </c>
      <c r="L63" s="187" t="s">
        <v>4830</v>
      </c>
      <c r="M63" s="187" t="s">
        <v>4831</v>
      </c>
      <c r="N63" s="99" t="s">
        <v>6</v>
      </c>
      <c r="O63" s="99" t="s">
        <v>4833</v>
      </c>
      <c r="P63" s="99" t="s">
        <v>4854</v>
      </c>
    </row>
    <row r="64" spans="1:30">
      <c r="A64" s="99"/>
      <c r="B64" s="95"/>
      <c r="C64" s="95"/>
      <c r="D64" s="95"/>
      <c r="E64" s="95"/>
      <c r="G64" t="s">
        <v>25</v>
      </c>
      <c r="I64" s="99"/>
      <c r="J64" s="99"/>
      <c r="K64" s="99" t="s">
        <v>4760</v>
      </c>
      <c r="L64" s="232">
        <v>535989412</v>
      </c>
      <c r="M64" s="232"/>
      <c r="N64" s="99"/>
      <c r="O64" s="99"/>
      <c r="P64" s="99"/>
    </row>
    <row r="65" spans="1:17">
      <c r="A65" s="99"/>
      <c r="B65" s="95"/>
      <c r="C65" s="95"/>
      <c r="D65" s="95"/>
      <c r="E65" s="95"/>
      <c r="I65" s="99"/>
      <c r="J65" s="95">
        <f>L65-L64</f>
        <v>12939932</v>
      </c>
      <c r="K65" s="99" t="s">
        <v>4799</v>
      </c>
      <c r="L65" s="232">
        <v>548929344</v>
      </c>
      <c r="M65" s="232"/>
      <c r="N65" s="99"/>
      <c r="O65" s="99"/>
      <c r="P65" s="99"/>
    </row>
    <row r="66" spans="1:17">
      <c r="A66" s="99"/>
      <c r="B66" s="95"/>
      <c r="C66" s="95"/>
      <c r="D66" s="95"/>
      <c r="E66" s="95"/>
      <c r="F66" t="s">
        <v>25</v>
      </c>
      <c r="I66" s="99"/>
      <c r="J66" s="95">
        <f t="shared" ref="J66:J75" si="10">L66-L65</f>
        <v>11531981</v>
      </c>
      <c r="K66" s="99" t="s">
        <v>4809</v>
      </c>
      <c r="L66" s="232">
        <v>560461325</v>
      </c>
      <c r="M66" s="232"/>
      <c r="N66" s="99"/>
      <c r="O66" s="99"/>
      <c r="P66" s="99"/>
    </row>
    <row r="67" spans="1:17">
      <c r="A67" s="99"/>
      <c r="B67" s="95"/>
      <c r="C67" s="95"/>
      <c r="D67" s="95"/>
      <c r="E67" s="95"/>
      <c r="I67" s="99"/>
      <c r="J67" s="95">
        <f t="shared" si="10"/>
        <v>17387769</v>
      </c>
      <c r="K67" s="99" t="s">
        <v>4817</v>
      </c>
      <c r="L67" s="232">
        <v>577849094</v>
      </c>
      <c r="M67" s="232"/>
      <c r="N67" s="99"/>
      <c r="O67" s="99"/>
      <c r="P67" s="99"/>
    </row>
    <row r="68" spans="1:17">
      <c r="A68" s="99"/>
      <c r="B68" s="95"/>
      <c r="C68" s="95"/>
      <c r="D68" s="95"/>
      <c r="E68" s="95"/>
      <c r="I68" s="99"/>
      <c r="J68" s="95">
        <f t="shared" si="10"/>
        <v>11024486</v>
      </c>
      <c r="K68" s="99" t="s">
        <v>4819</v>
      </c>
      <c r="L68" s="232">
        <v>588873580</v>
      </c>
      <c r="M68" s="232">
        <v>250255923</v>
      </c>
      <c r="N68" s="95">
        <f>L68+M68</f>
        <v>839129503</v>
      </c>
      <c r="O68" s="95">
        <f>M68-M67</f>
        <v>250255923</v>
      </c>
      <c r="P68" s="95">
        <f>N68-N67</f>
        <v>839129503</v>
      </c>
      <c r="Q68" t="s">
        <v>25</v>
      </c>
    </row>
    <row r="69" spans="1:17">
      <c r="A69" s="99"/>
      <c r="B69" s="95"/>
      <c r="C69" s="95"/>
      <c r="D69" s="95"/>
      <c r="E69" s="95"/>
      <c r="I69" s="99"/>
      <c r="J69" s="95">
        <f t="shared" si="10"/>
        <v>-8942851</v>
      </c>
      <c r="K69" s="99" t="s">
        <v>4829</v>
      </c>
      <c r="L69" s="234">
        <v>579930729</v>
      </c>
      <c r="M69" s="232">
        <v>247714729</v>
      </c>
      <c r="N69" s="95">
        <f t="shared" ref="N69:N75" si="11">L69+M69</f>
        <v>827645458</v>
      </c>
      <c r="O69" s="95">
        <f t="shared" ref="O69:O76" si="12">M69-M68</f>
        <v>-2541194</v>
      </c>
      <c r="P69" s="95">
        <f t="shared" ref="P69:P76" si="13">N69-N68</f>
        <v>-11484045</v>
      </c>
    </row>
    <row r="70" spans="1:17">
      <c r="I70" s="99" t="s">
        <v>4850</v>
      </c>
      <c r="J70" s="95">
        <f t="shared" si="10"/>
        <v>45893629</v>
      </c>
      <c r="K70" s="99" t="s">
        <v>4839</v>
      </c>
      <c r="L70" s="232">
        <v>625824358</v>
      </c>
      <c r="M70" s="232">
        <v>243028777</v>
      </c>
      <c r="N70" s="95">
        <f t="shared" si="11"/>
        <v>868853135</v>
      </c>
      <c r="O70" s="95">
        <f t="shared" si="12"/>
        <v>-4685952</v>
      </c>
      <c r="P70" s="95">
        <f t="shared" si="13"/>
        <v>41207677</v>
      </c>
    </row>
    <row r="71" spans="1:17">
      <c r="I71" s="99"/>
      <c r="J71" s="95">
        <f t="shared" si="10"/>
        <v>3462014</v>
      </c>
      <c r="K71" s="99" t="s">
        <v>4851</v>
      </c>
      <c r="L71" s="232">
        <v>629286372</v>
      </c>
      <c r="M71" s="232">
        <v>246690884</v>
      </c>
      <c r="N71" s="95">
        <f t="shared" si="11"/>
        <v>875977256</v>
      </c>
      <c r="O71" s="95">
        <f t="shared" si="12"/>
        <v>3662107</v>
      </c>
      <c r="P71" s="95">
        <f t="shared" si="13"/>
        <v>7124121</v>
      </c>
    </row>
    <row r="72" spans="1:17">
      <c r="D72" s="114">
        <f>B63-B47+L19</f>
        <v>4891628</v>
      </c>
      <c r="I72" s="99"/>
      <c r="J72" s="95">
        <f t="shared" si="10"/>
        <v>-629286372</v>
      </c>
      <c r="K72" s="99"/>
      <c r="L72" s="232">
        <v>0</v>
      </c>
      <c r="M72" s="232"/>
      <c r="N72" s="95">
        <f t="shared" si="11"/>
        <v>0</v>
      </c>
      <c r="O72" s="95">
        <f t="shared" si="12"/>
        <v>-246690884</v>
      </c>
      <c r="P72" s="95">
        <f t="shared" si="13"/>
        <v>-875977256</v>
      </c>
    </row>
    <row r="73" spans="1:17">
      <c r="B73" t="s">
        <v>25</v>
      </c>
      <c r="I73" s="99"/>
      <c r="J73" s="95">
        <f t="shared" si="10"/>
        <v>0</v>
      </c>
      <c r="K73" s="219"/>
      <c r="L73" s="233">
        <v>0</v>
      </c>
      <c r="M73" s="232"/>
      <c r="N73" s="95">
        <f t="shared" si="11"/>
        <v>0</v>
      </c>
      <c r="O73" s="95">
        <f t="shared" si="12"/>
        <v>0</v>
      </c>
      <c r="P73" s="95">
        <f t="shared" si="13"/>
        <v>0</v>
      </c>
    </row>
    <row r="74" spans="1:17">
      <c r="I74" s="99"/>
      <c r="J74" s="95">
        <f t="shared" si="10"/>
        <v>0</v>
      </c>
      <c r="K74" s="99"/>
      <c r="L74" s="187">
        <v>0</v>
      </c>
      <c r="M74" s="232"/>
      <c r="N74" s="95">
        <f t="shared" si="11"/>
        <v>0</v>
      </c>
      <c r="O74" s="95">
        <f t="shared" si="12"/>
        <v>0</v>
      </c>
      <c r="P74" s="95">
        <f t="shared" si="13"/>
        <v>0</v>
      </c>
    </row>
    <row r="75" spans="1:17">
      <c r="E75" t="s">
        <v>25</v>
      </c>
      <c r="I75" s="99"/>
      <c r="J75" s="95">
        <f t="shared" si="10"/>
        <v>0</v>
      </c>
      <c r="K75" s="99"/>
      <c r="L75" s="187">
        <v>0</v>
      </c>
      <c r="M75" s="232"/>
      <c r="N75" s="95">
        <f t="shared" si="11"/>
        <v>0</v>
      </c>
      <c r="O75" s="95">
        <f t="shared" si="12"/>
        <v>0</v>
      </c>
      <c r="P75" s="95">
        <f t="shared" si="13"/>
        <v>0</v>
      </c>
    </row>
    <row r="76" spans="1:17">
      <c r="I76" s="99"/>
      <c r="J76" s="95">
        <f>L76-L75</f>
        <v>0</v>
      </c>
      <c r="K76" s="99"/>
      <c r="L76" s="187">
        <v>0</v>
      </c>
      <c r="M76" s="232"/>
      <c r="N76" s="99"/>
      <c r="O76" s="95">
        <f t="shared" si="12"/>
        <v>0</v>
      </c>
      <c r="P76" s="95">
        <f t="shared" si="13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4437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4548</v>
      </c>
      <c r="Z2" s="99" t="s">
        <v>4611</v>
      </c>
      <c r="AA2" s="99" t="s">
        <v>4609</v>
      </c>
      <c r="AB2" s="99" t="s">
        <v>4610</v>
      </c>
      <c r="AC2" s="99" t="s">
        <v>4613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4615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4612</v>
      </c>
      <c r="Z4" s="99">
        <v>1</v>
      </c>
      <c r="AA4" s="99">
        <v>1</v>
      </c>
      <c r="AB4" s="99">
        <f t="shared" si="0"/>
        <v>1</v>
      </c>
      <c r="AC4" s="99" t="s">
        <v>4614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4597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2019-02-27T16:55:29Z</dcterms:modified>
</cp:coreProperties>
</file>