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7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AD24" i="52" l="1"/>
  <c r="Z24" i="52"/>
  <c r="AE24" i="52"/>
  <c r="Z23" i="52"/>
  <c r="AD23" i="52"/>
  <c r="AE23" i="52"/>
  <c r="M112" i="18"/>
  <c r="N53" i="18"/>
  <c r="P124" i="18" l="1"/>
  <c r="R202" i="18"/>
  <c r="R185" i="18"/>
  <c r="W164" i="18"/>
  <c r="W163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2" i="18"/>
  <c r="W161" i="18"/>
  <c r="AD18" i="52"/>
  <c r="Z18" i="52"/>
  <c r="AE18" i="52"/>
  <c r="AD17" i="52"/>
  <c r="Z17" i="52"/>
  <c r="AE17" i="52"/>
  <c r="M22" i="52"/>
  <c r="L28" i="52" s="1"/>
  <c r="N17" i="52"/>
  <c r="N16" i="52"/>
  <c r="AJ140" i="18"/>
  <c r="M114" i="18" l="1"/>
  <c r="L107" i="18"/>
  <c r="L108" i="18"/>
  <c r="L109" i="18"/>
  <c r="L110" i="18"/>
  <c r="L111" i="18"/>
  <c r="L112" i="18"/>
  <c r="W160" i="18" l="1"/>
  <c r="W159" i="18"/>
  <c r="D303" i="20"/>
  <c r="D302" i="20"/>
  <c r="R164" i="18"/>
  <c r="W158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7" i="20" l="1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6" i="20" l="1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6" i="18"/>
  <c r="U167" i="18"/>
  <c r="N51" i="18"/>
  <c r="N47" i="18"/>
  <c r="M111" i="18" l="1"/>
  <c r="N111" i="18" s="1"/>
  <c r="AD15" i="52"/>
  <c r="AE15" i="52"/>
  <c r="AD14" i="52"/>
  <c r="AE14" i="52"/>
  <c r="Z15" i="52"/>
  <c r="D296" i="20"/>
  <c r="D295" i="20"/>
  <c r="W155" i="18" l="1"/>
  <c r="W154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3" i="18"/>
  <c r="W152" i="18"/>
  <c r="H38" i="55" l="1"/>
  <c r="I2" i="55"/>
  <c r="I33" i="55" s="1"/>
  <c r="I38" i="55" s="1"/>
  <c r="D32" i="55"/>
  <c r="D293" i="20"/>
  <c r="W151" i="18" l="1"/>
  <c r="N49" i="18"/>
  <c r="N54" i="18"/>
  <c r="N50" i="18"/>
  <c r="M110" i="18" l="1"/>
  <c r="N110" i="18" s="1"/>
  <c r="D292" i="20"/>
  <c r="C8" i="36"/>
  <c r="W150" i="18"/>
  <c r="N5" i="52"/>
  <c r="N44" i="18" l="1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49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0" i="18"/>
  <c r="D281" i="20" l="1"/>
  <c r="D280" i="20" l="1"/>
  <c r="AD5" i="52" l="1"/>
  <c r="B38" i="52"/>
  <c r="D279" i="20"/>
  <c r="W125" i="18" l="1"/>
  <c r="W148" i="18"/>
  <c r="D278" i="20"/>
  <c r="W127" i="18" l="1"/>
  <c r="W126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0" i="18"/>
  <c r="AR14" i="18"/>
  <c r="S119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7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6" i="18"/>
  <c r="AM124" i="18" l="1"/>
  <c r="AL123" i="18"/>
  <c r="AM123" i="18" l="1"/>
  <c r="AL122" i="18"/>
  <c r="L34" i="18"/>
  <c r="AL121" i="18" l="1"/>
  <c r="AM122" i="18"/>
  <c r="W140" i="18"/>
  <c r="W141" i="18"/>
  <c r="W142" i="18"/>
  <c r="W143" i="18"/>
  <c r="W144" i="18"/>
  <c r="W145" i="18"/>
  <c r="W157" i="18"/>
  <c r="W139" i="18"/>
  <c r="AM121" i="18" l="1"/>
  <c r="AL120" i="18"/>
  <c r="N56" i="18"/>
  <c r="AM120" i="18" l="1"/>
  <c r="AL119" i="18"/>
  <c r="T183" i="18"/>
  <c r="AM119" i="18" l="1"/>
  <c r="AL118" i="18"/>
  <c r="T123" i="18"/>
  <c r="S41" i="18"/>
  <c r="S42" i="18" s="1"/>
  <c r="S43" i="18" s="1"/>
  <c r="R144" i="18"/>
  <c r="R143" i="18"/>
  <c r="R142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41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2" i="18"/>
  <c r="AL104" i="18" l="1"/>
  <c r="AM105" i="18"/>
  <c r="N112" i="18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1" i="18"/>
  <c r="AL101" i="18" l="1"/>
  <c r="AM102" i="18"/>
  <c r="AL177" i="18"/>
  <c r="AM178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1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R140" i="18" s="1"/>
  <c r="AM94" i="18" l="1"/>
  <c r="AL93" i="18"/>
  <c r="Q36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1" i="18"/>
  <c r="G292" i="20" l="1"/>
  <c r="K293" i="20"/>
  <c r="J293" i="20"/>
  <c r="I293" i="20"/>
  <c r="S78" i="18"/>
  <c r="S79" i="18" s="1"/>
  <c r="S80" i="18" s="1"/>
  <c r="S81" i="18" s="1"/>
  <c r="S82" i="18" s="1"/>
  <c r="AL76" i="18"/>
  <c r="AM77" i="18"/>
  <c r="S83" i="18" l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G291" i="20"/>
  <c r="I292" i="20"/>
  <c r="K292" i="20"/>
  <c r="J292" i="20"/>
  <c r="AL75" i="18"/>
  <c r="AM76" i="18"/>
  <c r="N55" i="18"/>
  <c r="R139" i="18" s="1"/>
  <c r="S95" i="18" l="1"/>
  <c r="S96" i="18" s="1"/>
  <c r="S97" i="18" s="1"/>
  <c r="S98" i="18" s="1"/>
  <c r="S99" i="18" s="1"/>
  <c r="S100" i="18" s="1"/>
  <c r="S101" i="18" s="1"/>
  <c r="S102" i="18" s="1"/>
  <c r="S103" i="18" s="1"/>
  <c r="AJ146" i="18"/>
  <c r="AJ147" i="18" s="1"/>
  <c r="Q115" i="18"/>
  <c r="M106" i="18"/>
  <c r="N106" i="18" s="1"/>
  <c r="N114" i="18" s="1"/>
  <c r="G290" i="20"/>
  <c r="J291" i="20"/>
  <c r="K291" i="20"/>
  <c r="I291" i="20"/>
  <c r="AL74" i="18"/>
  <c r="AM75" i="18"/>
  <c r="S104" i="18" l="1"/>
  <c r="S105" i="18" s="1"/>
  <c r="S106" i="18" s="1"/>
  <c r="S107" i="18" s="1"/>
  <c r="S108" i="18" s="1"/>
  <c r="S109" i="18" s="1"/>
  <c r="S110" i="18" s="1"/>
  <c r="S111" i="18" s="1"/>
  <c r="S112" i="18" s="1"/>
  <c r="G289" i="20"/>
  <c r="I290" i="20"/>
  <c r="K290" i="20"/>
  <c r="J290" i="20"/>
  <c r="R148" i="18"/>
  <c r="T170" i="18" s="1"/>
  <c r="AL73" i="18"/>
  <c r="AM74" i="18"/>
  <c r="N87" i="18"/>
  <c r="V110" i="18" l="1"/>
  <c r="W110" i="18" s="1"/>
  <c r="V112" i="18"/>
  <c r="V111" i="18"/>
  <c r="X110" i="18"/>
  <c r="V109" i="18"/>
  <c r="X109" i="18" s="1"/>
  <c r="V34" i="18"/>
  <c r="W34" i="18" s="1"/>
  <c r="V48" i="18"/>
  <c r="V107" i="18"/>
  <c r="V108" i="18"/>
  <c r="V105" i="18"/>
  <c r="V103" i="18"/>
  <c r="V102" i="18"/>
  <c r="V101" i="18"/>
  <c r="V106" i="18"/>
  <c r="V100" i="18"/>
  <c r="V104" i="18"/>
  <c r="V97" i="18"/>
  <c r="W97" i="18" s="1"/>
  <c r="V99" i="18"/>
  <c r="V98" i="18"/>
  <c r="G288" i="20"/>
  <c r="K289" i="20"/>
  <c r="J289" i="20"/>
  <c r="I289" i="20"/>
  <c r="S127" i="18"/>
  <c r="V173" i="18"/>
  <c r="U183" i="18"/>
  <c r="V183" i="18" s="1"/>
  <c r="V96" i="18"/>
  <c r="V95" i="18"/>
  <c r="V33" i="18"/>
  <c r="W33" i="18" s="1"/>
  <c r="V47" i="18"/>
  <c r="V93" i="18"/>
  <c r="V94" i="18"/>
  <c r="V91" i="18"/>
  <c r="V90" i="18"/>
  <c r="V89" i="18"/>
  <c r="V88" i="18"/>
  <c r="V84" i="18"/>
  <c r="V87" i="18"/>
  <c r="V85" i="18"/>
  <c r="V86" i="18"/>
  <c r="V92" i="18"/>
  <c r="V114" i="18"/>
  <c r="V82" i="18"/>
  <c r="W82" i="18" s="1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112" i="18" l="1"/>
  <c r="W112" i="18"/>
  <c r="W111" i="18"/>
  <c r="X111" i="18"/>
  <c r="W109" i="18"/>
  <c r="X34" i="18"/>
  <c r="W48" i="18"/>
  <c r="X48" i="18"/>
  <c r="X97" i="18"/>
  <c r="W108" i="18"/>
  <c r="X108" i="18"/>
  <c r="W107" i="18"/>
  <c r="X107" i="18"/>
  <c r="W100" i="18"/>
  <c r="X100" i="18"/>
  <c r="W102" i="18"/>
  <c r="X102" i="18"/>
  <c r="X104" i="18"/>
  <c r="W104" i="18"/>
  <c r="W103" i="18"/>
  <c r="X103" i="18"/>
  <c r="W101" i="18"/>
  <c r="X101" i="18"/>
  <c r="W106" i="18"/>
  <c r="X106" i="18"/>
  <c r="W105" i="18"/>
  <c r="X105" i="18"/>
  <c r="W98" i="18"/>
  <c r="X98" i="18"/>
  <c r="W99" i="18"/>
  <c r="X99" i="18"/>
  <c r="X33" i="18"/>
  <c r="G287" i="20"/>
  <c r="J288" i="20"/>
  <c r="K288" i="20"/>
  <c r="I288" i="20"/>
  <c r="W95" i="18"/>
  <c r="X95" i="18"/>
  <c r="W96" i="18"/>
  <c r="X96" i="18"/>
  <c r="W47" i="18"/>
  <c r="X47" i="18"/>
  <c r="W94" i="18"/>
  <c r="X94" i="18"/>
  <c r="W93" i="18"/>
  <c r="X93" i="18"/>
  <c r="X90" i="18"/>
  <c r="W90" i="18"/>
  <c r="W91" i="18"/>
  <c r="X91" i="18"/>
  <c r="W88" i="18"/>
  <c r="X88" i="18"/>
  <c r="W89" i="18"/>
  <c r="X89" i="18"/>
  <c r="W114" i="18"/>
  <c r="X114" i="18"/>
  <c r="W85" i="18"/>
  <c r="X85" i="18"/>
  <c r="W87" i="18"/>
  <c r="X87" i="18"/>
  <c r="X92" i="18"/>
  <c r="W92" i="18"/>
  <c r="W86" i="18"/>
  <c r="X86" i="18"/>
  <c r="W84" i="18"/>
  <c r="X84" i="18"/>
  <c r="X82" i="18"/>
  <c r="W83" i="18"/>
  <c r="X83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6" i="18"/>
  <c r="N64" i="18"/>
  <c r="S125" i="18"/>
  <c r="U125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6" i="18"/>
  <c r="V126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7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8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7" i="18" s="1"/>
  <c r="F24" i="18" s="1"/>
  <c r="L68" i="18" l="1"/>
  <c r="E33" i="13"/>
  <c r="G34" i="13"/>
  <c r="I97" i="20"/>
  <c r="K97" i="20"/>
  <c r="J97" i="20"/>
  <c r="F108" i="15"/>
  <c r="C20" i="18"/>
  <c r="G20" i="14"/>
  <c r="G21" i="14"/>
  <c r="L69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5" i="18" l="1"/>
  <c r="U127" i="18"/>
  <c r="V127" i="18" s="1"/>
</calcChain>
</file>

<file path=xl/sharedStrings.xml><?xml version="1.0" encoding="utf-8"?>
<sst xmlns="http://schemas.openxmlformats.org/spreadsheetml/2006/main" count="10592" uniqueCount="4776">
  <si>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</si>
  <si>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</si>
  <si>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</si>
  <si>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</si>
  <si>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</si>
  <si>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</si>
  <si>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</si>
  <si>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</si>
  <si>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</si>
  <si>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</si>
  <si>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</si>
  <si>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</si>
  <si>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</si>
  <si>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</si>
  <si>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</si>
  <si>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</si>
  <si>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</si>
  <si>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</si>
  <si>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</si>
  <si>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</si>
  <si>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</si>
  <si>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</si>
  <si>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</si>
  <si>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</si>
  <si>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</si>
  <si>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</si>
  <si>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</si>
  <si>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</si>
  <si>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</si>
  <si>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</si>
  <si>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</si>
  <si>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</si>
  <si>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</si>
  <si>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</si>
  <si>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</si>
  <si>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</si>
  <si>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</si>
  <si>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</si>
  <si>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</si>
  <si>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</si>
  <si>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</si>
  <si>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</si>
  <si>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</si>
  <si>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</si>
  <si>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</si>
  <si>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</si>
  <si>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</si>
  <si>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</si>
  <si>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</si>
  <si>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</si>
  <si>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</si>
  <si>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</si>
  <si>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</si>
  <si>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</si>
  <si>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</si>
  <si>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</si>
  <si>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</si>
  <si>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</si>
  <si>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</si>
  <si>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</si>
  <si>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</si>
  <si>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</si>
  <si>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</si>
  <si>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</si>
  <si>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</si>
  <si>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</si>
  <si>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</si>
  <si>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</si>
  <si>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</si>
  <si>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</si>
  <si>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</si>
  <si>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</si>
  <si>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</si>
  <si>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</si>
  <si>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</si>
  <si>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</si>
  <si>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</si>
  <si>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</si>
  <si>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</si>
  <si>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</si>
  <si>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</si>
  <si>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</si>
  <si>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</si>
  <si>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</si>
  <si>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</si>
  <si>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</si>
  <si>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</si>
  <si>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</si>
  <si>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</si>
  <si>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</si>
  <si>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</si>
  <si>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</si>
  <si>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</si>
  <si>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</si>
  <si>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</si>
  <si>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</si>
  <si>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</si>
  <si>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</si>
  <si>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</si>
  <si>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</si>
  <si>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</si>
  <si>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</si>
  <si>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</si>
  <si>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</si>
  <si>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</si>
  <si>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</si>
  <si>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</si>
  <si>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</si>
  <si>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</si>
  <si>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</si>
  <si>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</si>
  <si>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</si>
  <si>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</si>
  <si>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</si>
  <si>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</si>
  <si>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</si>
  <si>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</si>
  <si>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</si>
  <si>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</si>
  <si>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</si>
  <si>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</si>
  <si>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</si>
  <si>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</si>
  <si>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</si>
  <si>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</si>
  <si>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</si>
  <si>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</si>
  <si>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</si>
  <si>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</si>
  <si>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</si>
  <si>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</si>
  <si>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</si>
  <si>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</si>
  <si>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</si>
  <si>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</si>
  <si>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</si>
  <si>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</si>
  <si>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</si>
  <si>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</si>
  <si>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</si>
  <si>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</si>
  <si>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</si>
  <si>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</si>
  <si>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</si>
  <si>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</si>
  <si>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</si>
  <si>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</si>
  <si>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</si>
  <si>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</si>
  <si>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</si>
  <si>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</si>
  <si>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</si>
  <si>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</si>
  <si>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</si>
  <si>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</si>
  <si>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</si>
  <si>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</si>
  <si>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</si>
  <si>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</si>
  <si>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</si>
  <si>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</si>
  <si>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</si>
  <si>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</si>
  <si>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</si>
  <si>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</si>
  <si>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</si>
  <si>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</si>
  <si>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</si>
  <si>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</si>
  <si>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</si>
  <si>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</si>
  <si>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</si>
  <si>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</si>
  <si>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</si>
  <si>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</si>
  <si>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</si>
  <si>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</si>
  <si>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</si>
  <si>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</si>
  <si>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</si>
  <si>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</si>
  <si>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</si>
  <si>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</si>
  <si>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</si>
  <si>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</si>
  <si>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</si>
  <si>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</si>
  <si>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</si>
  <si>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</si>
  <si>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</si>
  <si>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</si>
  <si>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</si>
  <si>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</si>
  <si>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</si>
  <si>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</si>
  <si>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</si>
  <si>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</si>
  <si>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</si>
  <si>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</si>
  <si>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</si>
  <si>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</si>
  <si>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</si>
  <si>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</si>
  <si>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</si>
  <si>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</si>
  <si>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</si>
  <si>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</si>
  <si>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</si>
  <si>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</si>
  <si>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</si>
  <si>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</si>
  <si>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</si>
  <si>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</si>
  <si>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</si>
  <si>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</si>
  <si>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</si>
  <si>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</si>
  <si>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</si>
  <si>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</si>
  <si>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</si>
  <si>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</si>
  <si>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</si>
  <si>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</si>
  <si>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</si>
  <si>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</si>
  <si>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</si>
  <si>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</si>
  <si>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</si>
  <si>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</si>
  <si>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</si>
  <si>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</si>
  <si>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</si>
  <si>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</si>
  <si>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</si>
  <si>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</si>
  <si>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</si>
  <si>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</si>
  <si>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</si>
  <si>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</si>
  <si>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</si>
  <si>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</si>
  <si>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</si>
  <si>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</si>
  <si>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</si>
  <si>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</si>
  <si>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</si>
  <si>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</si>
  <si>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</si>
  <si>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</si>
  <si>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</si>
  <si>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</si>
  <si>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</si>
  <si>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</si>
  <si>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</si>
  <si>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</si>
  <si>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</si>
  <si>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</si>
  <si>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</si>
  <si>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</si>
  <si>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</si>
  <si>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</si>
  <si>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</si>
  <si>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</si>
  <si>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</si>
  <si>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</si>
  <si>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</si>
  <si>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</si>
  <si>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</si>
  <si>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</si>
  <si>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</si>
  <si>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</si>
  <si>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</si>
  <si>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</si>
  <si>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</si>
  <si>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</si>
  <si>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</si>
  <si>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</si>
  <si>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</si>
  <si>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</si>
  <si>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</si>
  <si>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</si>
  <si>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</si>
  <si>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</si>
  <si>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</si>
  <si>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</si>
  <si>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</si>
  <si>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</si>
  <si>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</si>
  <si>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</si>
  <si>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</si>
  <si>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</si>
  <si>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</si>
  <si>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</si>
  <si>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</si>
  <si>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</si>
  <si>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</si>
  <si>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</si>
  <si>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</si>
  <si>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</si>
  <si>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</si>
  <si>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</si>
  <si>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</si>
  <si>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</si>
  <si>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</si>
  <si>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</si>
  <si>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</si>
  <si>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</si>
  <si>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</si>
  <si>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</si>
  <si>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</si>
  <si>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</si>
  <si>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</si>
  <si>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</si>
  <si>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</si>
  <si>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</si>
  <si>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</si>
  <si>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</si>
  <si>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</si>
  <si>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</si>
  <si>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</si>
  <si>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</si>
  <si>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</si>
  <si>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</si>
  <si>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</si>
  <si>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</si>
  <si>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</si>
  <si>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</si>
  <si>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</si>
  <si>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</si>
  <si>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</si>
  <si>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</si>
  <si>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</si>
  <si>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</si>
  <si>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</si>
  <si>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</si>
  <si>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</si>
  <si>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</si>
  <si>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</si>
  <si>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</si>
  <si>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</si>
  <si>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</si>
  <si>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</si>
  <si>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</si>
  <si>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</si>
  <si>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</si>
  <si>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</si>
  <si>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</si>
  <si>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</si>
  <si>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</si>
  <si>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</si>
  <si>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</si>
  <si>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</si>
  <si>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</si>
  <si>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</si>
  <si>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</si>
  <si>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</si>
  <si>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</si>
  <si>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</si>
  <si>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</si>
  <si>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</si>
  <si>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</si>
  <si>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</si>
  <si>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</si>
  <si>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</si>
  <si>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</si>
  <si>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</si>
  <si>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</si>
  <si>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</si>
  <si>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</si>
  <si>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</si>
  <si>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</si>
  <si>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</si>
  <si>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</si>
  <si>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</si>
  <si>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</si>
  <si>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</si>
  <si>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</si>
  <si>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</si>
  <si>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</si>
  <si>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</si>
  <si>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</si>
  <si>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</si>
  <si>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</si>
  <si>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</si>
  <si>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</si>
  <si>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</si>
  <si>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</si>
  <si>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</si>
  <si>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</si>
  <si>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</si>
  <si>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</si>
  <si>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</si>
  <si>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</si>
  <si>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</si>
  <si>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</si>
  <si>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</si>
  <si>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</si>
  <si>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</si>
  <si>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</si>
  <si>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</si>
  <si>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</si>
  <si>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</si>
  <si>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</si>
  <si>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</si>
  <si>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</si>
  <si>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</si>
  <si>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</si>
  <si>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</si>
  <si>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</si>
  <si>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</si>
  <si>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</si>
  <si>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</si>
  <si>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</si>
  <si>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</si>
  <si>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</si>
  <si>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</si>
  <si>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</si>
  <si>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</si>
  <si>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</si>
  <si>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</si>
  <si>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</si>
  <si>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</si>
  <si>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</si>
  <si>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</si>
  <si>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</si>
  <si>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</si>
  <si>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</si>
  <si>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</si>
  <si>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</si>
  <si>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</si>
  <si>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</si>
  <si>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</si>
  <si>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</si>
  <si>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</si>
  <si>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</si>
  <si>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</si>
  <si>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</si>
  <si>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</si>
  <si>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</si>
  <si>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</si>
  <si>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</si>
  <si>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</si>
  <si>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</si>
  <si>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</si>
  <si>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</si>
  <si>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</si>
  <si>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</si>
  <si>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</si>
  <si>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</si>
  <si>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</si>
  <si>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</si>
  <si>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</si>
  <si>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</si>
  <si>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</si>
  <si>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</si>
  <si>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</si>
  <si>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</si>
  <si>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</si>
  <si>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</si>
  <si>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</si>
  <si>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</si>
  <si>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</si>
  <si>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</si>
  <si>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</si>
  <si>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</si>
  <si>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</si>
  <si>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</si>
  <si>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</si>
  <si>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</si>
  <si>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</si>
  <si>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</si>
  <si>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</si>
  <si>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</si>
  <si>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</si>
  <si>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</si>
  <si>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</si>
  <si>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</si>
  <si>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</si>
  <si>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</si>
  <si>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</si>
  <si>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</si>
  <si>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</si>
  <si>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</si>
  <si>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</si>
  <si>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</si>
  <si>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</si>
  <si>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</si>
  <si>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</si>
  <si>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</si>
  <si>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</si>
  <si>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</si>
  <si>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</si>
  <si>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</si>
  <si>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</si>
  <si>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</si>
  <si>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</si>
  <si>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</si>
  <si>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</si>
  <si>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</si>
  <si>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</si>
  <si>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</si>
  <si>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</si>
  <si>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</si>
  <si>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</si>
  <si>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</si>
  <si>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</si>
  <si>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</si>
  <si>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</si>
  <si>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</si>
  <si>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</si>
  <si>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</si>
  <si>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</si>
  <si>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</si>
  <si>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</si>
  <si>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</si>
  <si>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</si>
  <si>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</si>
  <si>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</si>
  <si>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</si>
  <si>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</si>
  <si>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</si>
  <si>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</si>
  <si>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</si>
  <si>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</si>
  <si>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</si>
  <si>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</si>
  <si>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</si>
  <si>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</si>
  <si>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</si>
  <si>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</si>
  <si>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</si>
  <si>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</si>
  <si>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</si>
  <si>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</si>
  <si>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</si>
  <si>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</si>
  <si>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</si>
  <si>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</si>
  <si>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</si>
  <si>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</si>
  <si>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</si>
  <si>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</si>
  <si>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</si>
  <si>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</si>
  <si>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</si>
  <si>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</si>
  <si>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</si>
  <si>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</si>
  <si>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</si>
  <si>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</si>
  <si>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</si>
  <si>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</si>
  <si>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</si>
  <si>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</si>
  <si>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</si>
  <si>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</si>
  <si>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</si>
  <si>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</si>
  <si>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</si>
  <si>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</si>
  <si>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</si>
  <si>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</si>
  <si>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</si>
  <si>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</si>
  <si>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</si>
  <si>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</si>
  <si>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</si>
  <si>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</si>
  <si>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</si>
  <si>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</si>
  <si>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</si>
  <si>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</si>
  <si>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</si>
  <si>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</si>
  <si>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</si>
  <si>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</si>
  <si>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</si>
  <si>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</si>
  <si>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</si>
  <si>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</si>
  <si>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</si>
  <si>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</si>
  <si>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</si>
  <si>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</si>
  <si>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</si>
  <si>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</si>
  <si>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</si>
  <si>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</si>
  <si>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</si>
  <si>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</si>
  <si>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</si>
  <si>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</si>
  <si>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</si>
  <si>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</si>
  <si>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</si>
  <si>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</si>
  <si>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</si>
  <si>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</si>
  <si>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</si>
  <si>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</si>
  <si>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</si>
  <si>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</si>
  <si>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</si>
  <si>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</si>
  <si>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</si>
  <si>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</si>
  <si>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</si>
  <si>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</si>
  <si>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</si>
  <si>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</si>
  <si>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</si>
  <si>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</si>
  <si>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</si>
  <si>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</si>
  <si>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</si>
  <si>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</si>
  <si>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</si>
  <si>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</si>
  <si>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</si>
  <si>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</si>
  <si>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</si>
  <si>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</si>
  <si>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</si>
  <si>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</si>
  <si>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</si>
  <si>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</si>
  <si>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</si>
  <si>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</si>
  <si>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</si>
  <si>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</si>
  <si>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</si>
  <si>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</si>
  <si>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</si>
  <si>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</si>
  <si>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</si>
  <si>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</si>
  <si>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</si>
  <si>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</si>
  <si>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</si>
  <si>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</si>
  <si>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</si>
  <si>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</si>
  <si>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</si>
  <si>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</si>
  <si>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</si>
  <si>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</si>
  <si>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</si>
  <si>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</si>
  <si>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</si>
  <si>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</si>
  <si>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</si>
  <si>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</si>
  <si>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</si>
  <si>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</si>
  <si>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</si>
  <si>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</si>
  <si>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</si>
  <si>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</si>
  <si>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</si>
  <si>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</si>
  <si>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</si>
  <si>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</si>
  <si>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</si>
  <si>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</si>
  <si>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</si>
  <si>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</si>
  <si>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</si>
  <si>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</si>
  <si>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</si>
  <si>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</si>
  <si>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</si>
  <si>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</si>
  <si>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</si>
  <si>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</si>
  <si>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</si>
  <si>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</si>
  <si>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</si>
  <si>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</si>
  <si>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</si>
  <si>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</si>
  <si>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</si>
  <si>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</si>
  <si>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</si>
  <si>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</si>
  <si>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</si>
  <si>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</si>
  <si>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</si>
  <si>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</si>
  <si>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</si>
  <si>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</si>
  <si>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</si>
  <si>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</si>
  <si>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</si>
  <si>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</si>
  <si>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</si>
  <si>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</si>
  <si>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</si>
  <si>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</si>
  <si>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</si>
  <si>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</si>
  <si>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</si>
  <si>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</si>
  <si>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</si>
  <si>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</si>
  <si>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</si>
  <si>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</si>
  <si>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</si>
  <si>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</si>
  <si>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</si>
  <si>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</si>
  <si>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</si>
  <si>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</si>
  <si>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</si>
  <si>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</si>
  <si>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</si>
  <si>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</si>
  <si>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</si>
  <si>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</si>
  <si>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</si>
  <si>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</si>
  <si>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</si>
  <si>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</si>
  <si>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</si>
  <si>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</si>
  <si>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</si>
  <si>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</si>
  <si>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</si>
  <si>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</si>
  <si>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</si>
  <si>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</si>
  <si>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</si>
  <si>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</si>
  <si>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</si>
  <si>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</si>
  <si>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</si>
  <si>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</si>
  <si>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</si>
  <si>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</si>
  <si>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</si>
  <si>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</si>
  <si>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</si>
  <si>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</si>
  <si>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</si>
  <si>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</si>
  <si>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</si>
  <si>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</si>
  <si>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</si>
  <si>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</si>
  <si>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</si>
  <si>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</si>
  <si>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</si>
  <si>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</si>
  <si>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</si>
  <si>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</si>
  <si>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</si>
  <si>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</si>
  <si>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</si>
  <si>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</si>
  <si>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</si>
  <si>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</si>
  <si>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</si>
  <si>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</si>
  <si>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</si>
  <si>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</si>
  <si>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</si>
  <si>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</si>
  <si>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</si>
  <si>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</si>
  <si>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</si>
  <si>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</si>
  <si>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</si>
  <si>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</si>
  <si>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</si>
  <si>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</si>
  <si>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</si>
  <si>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</si>
  <si>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</si>
  <si>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</si>
  <si>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</si>
  <si>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</si>
  <si>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</si>
  <si>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</si>
  <si>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</si>
  <si>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</si>
  <si>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</si>
  <si>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</si>
  <si>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</si>
  <si>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</si>
  <si>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</si>
  <si>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</si>
  <si>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</si>
  <si>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</si>
  <si>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</si>
  <si>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</si>
  <si>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</si>
  <si>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</si>
  <si>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</si>
  <si>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</si>
  <si>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</si>
  <si>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</si>
  <si>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</si>
  <si>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</si>
  <si>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</si>
  <si>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</si>
  <si>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</si>
  <si>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</si>
  <si>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</si>
  <si>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</si>
  <si>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</si>
  <si>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</si>
  <si>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</si>
  <si>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</si>
  <si>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</si>
  <si>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</si>
  <si>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</si>
  <si>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</si>
  <si>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</si>
  <si>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</si>
  <si>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</si>
  <si>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</si>
  <si>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</si>
  <si>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</si>
  <si>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</si>
  <si>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</si>
  <si>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</si>
  <si>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</si>
  <si>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</si>
  <si>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</si>
  <si>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</si>
  <si>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</si>
  <si>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</si>
  <si>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</si>
  <si>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</si>
  <si>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</si>
  <si>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</si>
  <si>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</si>
  <si>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</si>
  <si>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</si>
  <si>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</si>
  <si>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</si>
  <si>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</si>
  <si>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</si>
  <si>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</si>
  <si>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</si>
  <si>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</si>
  <si>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</si>
  <si>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</si>
  <si>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</si>
  <si>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</si>
  <si>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</si>
  <si>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</si>
  <si>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</si>
  <si>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</si>
  <si>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</si>
  <si>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</si>
  <si>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</si>
  <si>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</si>
  <si>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</si>
  <si>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</si>
  <si>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</si>
  <si>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</si>
  <si>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</si>
  <si>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</si>
  <si>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</si>
  <si>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</si>
  <si>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</si>
  <si>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</si>
  <si>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</si>
  <si>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</si>
  <si>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</si>
  <si>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</si>
  <si>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</si>
  <si>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</si>
  <si>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</si>
  <si>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</si>
  <si>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</si>
  <si>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</si>
  <si>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</si>
  <si>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</si>
  <si>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</si>
  <si>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</si>
  <si>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</si>
  <si>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</si>
  <si>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</si>
  <si>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</si>
  <si>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</si>
  <si>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</si>
  <si>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</si>
  <si>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</si>
  <si>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</si>
  <si>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</si>
  <si>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</si>
  <si>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</si>
  <si>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</si>
  <si>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</si>
  <si>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</si>
  <si>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</si>
  <si>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</si>
  <si>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</si>
  <si>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</si>
  <si>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</si>
  <si>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</si>
  <si>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</si>
  <si>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</si>
  <si>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</si>
  <si>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</si>
  <si>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</si>
  <si>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</si>
  <si>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</si>
  <si>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</si>
  <si>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</si>
  <si>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</si>
  <si>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</si>
  <si>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</si>
  <si>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</si>
  <si>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</si>
  <si>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</si>
  <si>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</si>
  <si>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</si>
  <si>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</si>
  <si>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</si>
  <si>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</si>
  <si>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</si>
  <si>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</si>
  <si>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</si>
  <si>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</si>
  <si>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</si>
  <si>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</si>
  <si>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</si>
  <si>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</si>
  <si>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</si>
  <si>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</si>
  <si>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</si>
  <si>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</si>
  <si>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</si>
  <si>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</si>
  <si>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</si>
  <si>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</si>
  <si>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</si>
  <si>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</si>
  <si>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</si>
  <si>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</si>
  <si>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</si>
  <si>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</si>
  <si>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</si>
  <si>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</si>
  <si>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</si>
  <si>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</si>
  <si>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</si>
  <si>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</si>
  <si>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</si>
  <si>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</si>
  <si>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</si>
  <si>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</si>
  <si>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</si>
  <si>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</si>
  <si>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</si>
  <si>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</si>
  <si>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</si>
  <si>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</si>
  <si>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</si>
  <si>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</si>
  <si>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</si>
  <si>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</si>
  <si>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</si>
  <si>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</si>
  <si>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</si>
  <si>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</si>
  <si>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</si>
  <si>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</si>
  <si>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</si>
  <si>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</si>
  <si>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</si>
  <si>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</si>
  <si>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</si>
  <si>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</si>
  <si>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</si>
  <si>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</si>
  <si>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</si>
  <si>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</si>
  <si>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</si>
  <si>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</si>
  <si>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</si>
  <si>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</si>
  <si>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</si>
  <si>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</si>
  <si>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</si>
  <si>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</si>
  <si>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</si>
  <si>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</si>
  <si>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</si>
  <si>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</si>
  <si>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</si>
  <si>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</si>
  <si>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</si>
  <si>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</si>
  <si>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</si>
  <si>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</si>
  <si>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</si>
  <si>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</si>
  <si>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</si>
  <si>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</si>
  <si>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</si>
  <si>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</si>
  <si>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</si>
  <si>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</si>
  <si>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</si>
  <si>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</si>
  <si>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</si>
  <si>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</si>
  <si>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</si>
  <si>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</si>
  <si>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</si>
  <si>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</si>
  <si>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</si>
  <si>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</si>
  <si>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</si>
  <si>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</si>
  <si>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</si>
  <si>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</si>
  <si>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</si>
  <si>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</si>
  <si>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</si>
  <si>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</si>
  <si>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</si>
  <si>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</si>
  <si>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</si>
  <si>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</si>
  <si>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</si>
  <si>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</si>
  <si>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</si>
  <si>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</si>
  <si>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</si>
  <si>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</si>
  <si>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</si>
  <si>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</si>
  <si>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</si>
  <si>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</si>
  <si>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</si>
  <si>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</si>
  <si>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</si>
  <si>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</si>
  <si>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</si>
  <si>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</si>
  <si>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</si>
  <si>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</si>
  <si>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</si>
  <si>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</si>
  <si>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</si>
  <si>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</si>
  <si>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</si>
  <si>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</si>
  <si>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</si>
  <si>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</si>
  <si>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</si>
  <si>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</si>
  <si>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</si>
  <si>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</si>
  <si>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</si>
  <si>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</si>
  <si>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</si>
  <si>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</si>
  <si>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</si>
  <si>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</si>
  <si>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</si>
  <si>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</si>
  <si>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</si>
  <si>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</si>
  <si>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</si>
  <si>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</si>
  <si>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</si>
  <si>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</si>
  <si>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</si>
  <si>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</si>
  <si>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</si>
  <si>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</si>
  <si>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</si>
  <si>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</si>
  <si>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</si>
  <si>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</si>
  <si>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</si>
  <si>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</si>
  <si>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</si>
  <si>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</si>
  <si>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</si>
  <si>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</si>
  <si>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</si>
  <si>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</si>
  <si>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</si>
  <si>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</si>
  <si>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</si>
  <si>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</si>
  <si>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</si>
  <si>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</si>
  <si>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</si>
  <si>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</si>
  <si>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</si>
  <si>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</si>
  <si>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</si>
  <si>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</si>
  <si>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</si>
  <si>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</si>
  <si>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</si>
  <si>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</si>
  <si>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</si>
  <si>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</si>
  <si>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</si>
  <si>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</si>
  <si>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</si>
  <si>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</si>
  <si>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</si>
  <si>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</si>
  <si>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</si>
  <si>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</si>
  <si>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</si>
  <si>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</si>
  <si>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</si>
  <si>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</si>
  <si>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</si>
  <si>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</si>
  <si>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</si>
  <si>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</si>
  <si>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</si>
  <si>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</si>
  <si>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</si>
  <si>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</si>
  <si>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</si>
  <si>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</si>
  <si>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</si>
  <si>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</si>
  <si>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</si>
  <si>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</si>
  <si>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</si>
  <si>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</si>
  <si>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</si>
  <si>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</si>
  <si>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</si>
  <si>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</si>
  <si>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</si>
  <si>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</si>
  <si>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</si>
  <si>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</si>
  <si>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</si>
  <si>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</si>
  <si>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</si>
  <si>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</si>
  <si>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</si>
  <si>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</si>
  <si>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</si>
  <si>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</si>
  <si>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</si>
  <si>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</si>
  <si>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</si>
  <si>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</si>
  <si>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</si>
  <si>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</si>
  <si>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</si>
  <si>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</si>
  <si>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</si>
  <si>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</si>
  <si>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</si>
  <si>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</si>
  <si>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</si>
  <si>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</si>
  <si>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</si>
  <si>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</si>
  <si>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</si>
  <si>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</si>
  <si>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</si>
  <si>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</si>
  <si>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</si>
  <si>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</si>
  <si>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</si>
  <si>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</si>
  <si>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</si>
  <si>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</si>
  <si>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</si>
  <si>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</si>
  <si>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</si>
  <si>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</si>
  <si>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</si>
  <si>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</si>
  <si>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</si>
  <si>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</si>
  <si>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</si>
  <si>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</si>
  <si>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</si>
  <si>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</si>
  <si>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</si>
  <si>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</si>
  <si>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</si>
  <si>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</si>
  <si>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</si>
  <si>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</si>
  <si>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</si>
  <si>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</si>
  <si>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</si>
  <si>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</si>
  <si>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</si>
  <si>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</si>
  <si>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</si>
  <si>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</si>
  <si>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</si>
  <si>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</si>
  <si>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</si>
  <si>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</si>
  <si>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</si>
  <si>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</si>
  <si>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</si>
  <si>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</si>
  <si>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</si>
  <si>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</si>
  <si>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</si>
  <si>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</si>
  <si>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</si>
  <si>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</si>
  <si>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</si>
  <si>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</si>
  <si>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</si>
  <si>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</si>
  <si>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</si>
  <si>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</si>
  <si>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</si>
  <si>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</si>
  <si>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</si>
  <si>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</si>
  <si>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</si>
  <si>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</si>
  <si>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</si>
  <si>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</si>
  <si>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</si>
  <si>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</si>
  <si>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</si>
  <si>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</si>
  <si>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</si>
  <si>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</si>
  <si>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</si>
  <si>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</si>
  <si>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</si>
  <si>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</si>
  <si>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</si>
  <si>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</si>
  <si>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</si>
  <si>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</si>
  <si>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</si>
  <si>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</si>
  <si>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</si>
  <si>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</si>
  <si>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</si>
  <si>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</si>
  <si>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</si>
  <si>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</si>
  <si>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</si>
  <si>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</si>
  <si>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</si>
  <si>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</si>
  <si>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</si>
  <si>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</si>
  <si>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</si>
  <si>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</si>
  <si>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</si>
  <si>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</si>
  <si>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</si>
  <si>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</si>
  <si>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</si>
  <si>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</si>
  <si>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</si>
  <si>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</si>
  <si>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</si>
  <si>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</si>
  <si>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</si>
  <si>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</si>
  <si>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</si>
  <si>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</si>
  <si>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</si>
  <si>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</si>
  <si>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</si>
  <si>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</si>
  <si>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</si>
  <si>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</si>
  <si>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</si>
  <si>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</si>
  <si>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</si>
  <si>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</si>
  <si>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</si>
  <si>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</si>
  <si>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</si>
  <si>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</si>
  <si>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</si>
  <si>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</si>
  <si>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</si>
  <si>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</si>
  <si>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</si>
  <si>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</si>
  <si>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</si>
  <si>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</si>
  <si>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</si>
  <si>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</si>
  <si>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</si>
  <si>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</si>
  <si>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</si>
  <si>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</si>
  <si>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</si>
  <si>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</si>
  <si>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</si>
  <si>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</si>
  <si>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</si>
  <si>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</si>
  <si>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</si>
  <si>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</si>
  <si>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</si>
  <si>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</si>
  <si>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</si>
  <si>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</si>
  <si>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</si>
  <si>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</si>
  <si>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</si>
  <si>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</si>
  <si>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</si>
  <si>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</si>
  <si>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</si>
  <si>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</si>
  <si>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</si>
  <si>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</si>
  <si>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</si>
  <si>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</si>
  <si>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</si>
  <si>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</si>
  <si>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</si>
  <si>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</si>
  <si>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</si>
  <si>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</si>
  <si>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</si>
  <si>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</si>
  <si>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</si>
  <si>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</si>
  <si>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</si>
  <si>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</si>
  <si>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</si>
  <si>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</si>
  <si>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</si>
  <si>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</si>
  <si>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</si>
  <si>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</si>
  <si>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</si>
  <si>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</si>
  <si>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</si>
  <si>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</si>
  <si>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</si>
  <si>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</si>
  <si>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</si>
  <si>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</si>
  <si>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</si>
  <si>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</si>
  <si>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</si>
  <si>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</si>
  <si>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</si>
  <si>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</si>
  <si>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</si>
  <si>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</si>
  <si>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</si>
  <si>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</si>
  <si>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</si>
  <si>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</si>
  <si>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</si>
  <si>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</si>
  <si>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</si>
  <si>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</si>
  <si>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</si>
  <si>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</si>
  <si>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</si>
  <si>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</si>
  <si>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</si>
  <si>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</si>
  <si>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</si>
  <si>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</si>
  <si>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</si>
  <si>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</si>
  <si>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</si>
  <si>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</si>
  <si>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</si>
  <si>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</si>
  <si>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</si>
  <si>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</si>
  <si>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</si>
  <si>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</si>
  <si>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</si>
  <si>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</si>
  <si>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</si>
  <si>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</si>
  <si>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</si>
  <si>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</si>
  <si>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</si>
  <si>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</si>
  <si>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</si>
  <si>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</si>
  <si>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</si>
  <si>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</si>
  <si>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</si>
  <si>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</si>
  <si>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</si>
  <si>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</si>
  <si>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</si>
  <si>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</si>
  <si>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</si>
  <si>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</si>
  <si>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</si>
  <si>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</si>
  <si>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</si>
  <si>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</si>
  <si>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</si>
  <si>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</si>
  <si>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</si>
  <si>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</si>
  <si>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</si>
  <si>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</si>
  <si>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</si>
  <si>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</si>
  <si>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</si>
  <si>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</si>
  <si>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</si>
  <si>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</si>
  <si>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</si>
  <si>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</si>
  <si>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</si>
  <si>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</si>
  <si>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</si>
  <si>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</si>
  <si>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</si>
  <si>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</si>
  <si>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</si>
  <si>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</si>
  <si>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</si>
  <si>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</si>
  <si>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</si>
  <si>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</si>
  <si>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</si>
  <si>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</si>
  <si>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</si>
  <si>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</si>
  <si>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</si>
  <si>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</si>
  <si>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</si>
  <si>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</si>
  <si>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</si>
  <si>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</si>
  <si>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</si>
  <si>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</si>
  <si>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</si>
  <si>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</si>
  <si>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</si>
  <si>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</si>
  <si>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</si>
  <si>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</si>
  <si>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</si>
  <si>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</si>
  <si>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</si>
  <si>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</si>
  <si>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</si>
  <si>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</si>
  <si>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</si>
  <si>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</si>
  <si>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</si>
  <si>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</si>
  <si>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</si>
  <si>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</si>
  <si>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</si>
  <si>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</si>
  <si>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</si>
  <si>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</si>
  <si>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</si>
  <si>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</si>
  <si>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</si>
  <si>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</si>
  <si>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</si>
  <si>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</si>
  <si>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</si>
  <si>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</si>
  <si>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</si>
  <si>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</si>
  <si>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</si>
  <si>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</si>
  <si>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</si>
  <si>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</si>
  <si>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</si>
  <si>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</si>
  <si>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</si>
  <si>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</si>
  <si>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</si>
  <si>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</si>
  <si>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</si>
  <si>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</si>
  <si>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</si>
  <si>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</si>
  <si>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</si>
  <si>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</si>
  <si>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</si>
  <si>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</si>
  <si>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</si>
  <si>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</si>
  <si>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</si>
  <si>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</si>
  <si>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</si>
  <si>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</si>
  <si>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</si>
  <si>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</si>
  <si>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</si>
  <si>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</si>
  <si>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</si>
  <si>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</si>
  <si>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</si>
  <si>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</si>
  <si>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</si>
  <si>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</si>
  <si>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</si>
  <si>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</si>
  <si>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</si>
  <si>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</si>
  <si>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</si>
  <si>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</si>
  <si>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</si>
  <si>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</si>
  <si>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</si>
  <si>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</si>
  <si>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</si>
  <si>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</si>
  <si>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</si>
  <si>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</si>
  <si>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</si>
  <si>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</si>
  <si>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</si>
  <si>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</si>
  <si>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</si>
  <si>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</si>
  <si>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</si>
  <si>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</si>
  <si>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</si>
  <si>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</si>
  <si>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</si>
  <si>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</si>
  <si>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</si>
  <si>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</si>
  <si>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</si>
  <si>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</si>
  <si>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</si>
  <si>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</si>
  <si>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</si>
  <si>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</si>
  <si>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</si>
  <si>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</si>
  <si>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</si>
  <si>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</si>
  <si>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</si>
  <si>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</si>
  <si>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</si>
  <si>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</si>
  <si>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</si>
  <si>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</si>
  <si>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</si>
  <si>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</si>
  <si>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</si>
  <si>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</si>
  <si>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</si>
  <si>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</si>
  <si>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</si>
  <si>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</si>
  <si>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</si>
  <si>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</si>
  <si>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</si>
  <si>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</si>
  <si>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</si>
  <si>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</si>
  <si>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</si>
  <si>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</si>
  <si>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</si>
  <si>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</si>
  <si>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</si>
  <si>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</si>
  <si>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</si>
  <si>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</si>
  <si>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</si>
  <si>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</si>
  <si>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</si>
  <si>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</si>
  <si>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</si>
  <si>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</si>
  <si>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</si>
  <si>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</si>
  <si>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</si>
  <si>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</si>
  <si>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</si>
  <si>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</si>
  <si>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</si>
  <si>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</si>
  <si>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</si>
  <si>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</si>
  <si>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</si>
  <si>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</si>
  <si>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</si>
  <si>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</si>
  <si>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</si>
  <si>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</si>
  <si>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</si>
  <si>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</si>
  <si>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</si>
  <si>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</si>
  <si>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</si>
  <si>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</si>
  <si>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</si>
  <si>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</si>
  <si>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</si>
  <si>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</si>
  <si>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</si>
  <si>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</si>
  <si>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</si>
  <si>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</si>
  <si>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</si>
  <si>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</si>
  <si>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</si>
  <si>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</si>
  <si>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</si>
  <si>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</si>
  <si>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</si>
  <si>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</si>
  <si>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</si>
  <si>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</si>
  <si>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</si>
  <si>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</si>
  <si>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</si>
  <si>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</si>
  <si>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</si>
  <si>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</si>
  <si>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</si>
  <si>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</si>
  <si>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</si>
  <si>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</si>
  <si>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</si>
  <si>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</si>
  <si>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</si>
  <si>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</si>
  <si>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</si>
  <si>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</si>
  <si>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</si>
  <si>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</si>
  <si>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</si>
  <si>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</si>
  <si>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</si>
  <si>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</si>
  <si>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</si>
  <si>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</si>
  <si>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</si>
  <si>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</si>
  <si>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</si>
  <si>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</si>
  <si>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</si>
  <si>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</si>
  <si>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</si>
  <si>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</si>
  <si>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</si>
  <si>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</si>
  <si>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</si>
  <si>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</si>
  <si>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</si>
  <si>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</si>
  <si>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</si>
  <si>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</si>
  <si>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</si>
  <si>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</si>
  <si>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</si>
  <si>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</si>
  <si>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</si>
  <si>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</si>
  <si>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</si>
  <si>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</si>
  <si>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</si>
  <si>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</si>
  <si>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</si>
  <si>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</si>
  <si>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</si>
  <si>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</si>
  <si>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</si>
  <si>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</si>
  <si>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</si>
  <si>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</si>
  <si>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</si>
  <si>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</si>
  <si>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</si>
  <si>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</si>
  <si>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</si>
  <si>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</si>
  <si>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</si>
  <si>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</si>
  <si>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</si>
  <si>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</si>
  <si>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</si>
  <si>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</si>
  <si>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</si>
  <si>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</si>
  <si>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</si>
  <si>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</si>
  <si>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</si>
  <si>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</si>
  <si>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</si>
  <si>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</si>
  <si>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</si>
  <si>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</si>
  <si>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</si>
  <si>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</si>
  <si>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</si>
  <si>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</si>
  <si>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</si>
  <si>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</si>
  <si>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</si>
  <si>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</si>
  <si>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</si>
  <si>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</si>
  <si>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</si>
  <si>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</si>
  <si>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</si>
  <si>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</si>
  <si>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</si>
  <si>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</si>
  <si>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</si>
  <si>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</si>
  <si>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</si>
  <si>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</si>
  <si>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</si>
  <si>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</si>
  <si>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</si>
  <si>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</si>
  <si>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</si>
  <si>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</si>
  <si>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</si>
  <si>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</si>
  <si>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</si>
  <si>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</si>
  <si>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</si>
  <si>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</si>
  <si>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</si>
  <si>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</si>
  <si>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</si>
  <si>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</si>
  <si>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</si>
  <si>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</si>
  <si>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</si>
  <si>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</si>
  <si>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</si>
  <si>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</si>
  <si>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</si>
  <si>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</si>
  <si>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</si>
  <si>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</si>
  <si>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</si>
  <si>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</si>
  <si>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</si>
  <si>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</si>
  <si>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</si>
  <si>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</si>
  <si>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</si>
  <si>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</si>
  <si>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</si>
  <si>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</si>
  <si>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</si>
  <si>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</si>
  <si>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</si>
  <si>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</si>
  <si>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</si>
  <si>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</si>
  <si>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</si>
  <si>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</si>
  <si>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</si>
  <si>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</si>
  <si>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</si>
  <si>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</si>
  <si>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</si>
  <si>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</si>
  <si>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</si>
  <si>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</si>
  <si>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</si>
  <si>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</si>
  <si>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</si>
  <si>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</si>
  <si>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</si>
  <si>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</si>
  <si>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</si>
  <si>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</si>
  <si>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</si>
  <si>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</si>
  <si>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</si>
  <si>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</si>
  <si>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</si>
  <si>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</si>
  <si>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</si>
  <si>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</si>
  <si>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</si>
  <si>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</si>
  <si>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</si>
  <si>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</si>
  <si>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</si>
  <si>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</si>
  <si>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</si>
  <si>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</si>
  <si>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</si>
  <si>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</si>
  <si>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</si>
  <si>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</si>
  <si>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</si>
  <si>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</si>
  <si>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</si>
  <si>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</si>
  <si>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</si>
  <si>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</si>
  <si>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</si>
  <si>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</si>
  <si>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</si>
  <si>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</si>
  <si>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</si>
  <si>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</si>
  <si>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</si>
  <si>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</si>
  <si>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</si>
  <si>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</si>
  <si>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</si>
  <si>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</si>
  <si>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</si>
  <si>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</si>
  <si>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</si>
  <si>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</si>
  <si>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</si>
  <si>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</si>
  <si>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</si>
  <si>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</si>
  <si>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</si>
  <si>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</si>
  <si>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</si>
  <si>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</si>
  <si>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</si>
  <si>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</si>
  <si>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</si>
  <si>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</si>
  <si>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</si>
  <si>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</si>
  <si>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</si>
  <si>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</si>
  <si>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</si>
  <si>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</si>
  <si>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</si>
  <si>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</si>
  <si>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</si>
  <si>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</si>
  <si>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</si>
  <si>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</si>
  <si>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</si>
  <si>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</si>
  <si>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</si>
  <si>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</si>
  <si>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</si>
  <si>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</si>
  <si>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</si>
  <si>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</si>
  <si>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</si>
  <si>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</si>
  <si>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</si>
  <si>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</si>
  <si>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</si>
  <si>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</si>
  <si>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</si>
  <si>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</si>
  <si>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</si>
  <si>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</si>
  <si>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</si>
  <si>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</si>
  <si>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</si>
  <si>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</si>
  <si>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</si>
  <si>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</si>
  <si>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</si>
  <si>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</si>
  <si>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</si>
  <si>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</si>
  <si>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</si>
  <si>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</si>
  <si>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</si>
  <si>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</si>
  <si>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</si>
  <si>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</si>
  <si>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</si>
  <si>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</si>
  <si>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</si>
  <si>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</si>
  <si>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</si>
  <si>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</si>
  <si>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</si>
  <si>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</si>
  <si>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</si>
  <si>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</si>
  <si>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</si>
  <si>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</si>
  <si>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</si>
  <si>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</si>
  <si>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</si>
  <si>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</si>
  <si>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</si>
  <si>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</si>
  <si>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</si>
  <si>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</si>
  <si>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</si>
  <si>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</si>
  <si>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</si>
  <si>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</si>
  <si>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</si>
  <si>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</si>
  <si>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</si>
  <si>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</si>
  <si>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</si>
  <si>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</si>
  <si>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</si>
  <si>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</si>
  <si>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</si>
  <si>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</si>
  <si>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</si>
  <si>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</si>
  <si>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</si>
  <si>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</si>
  <si>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</si>
  <si>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</si>
  <si>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</si>
  <si>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</si>
  <si>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</si>
  <si>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</si>
  <si>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</si>
  <si>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</si>
  <si>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</si>
  <si>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</si>
  <si>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</si>
  <si>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</si>
  <si>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</si>
  <si>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</si>
  <si>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</si>
  <si>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</si>
  <si>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</si>
  <si>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</si>
  <si>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</si>
  <si>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</si>
  <si>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</si>
  <si>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</si>
  <si>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</si>
  <si>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</si>
  <si>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</si>
  <si>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</si>
  <si>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</si>
  <si>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</si>
  <si>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</si>
  <si>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</si>
  <si>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</si>
  <si>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</si>
  <si>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</si>
  <si>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</si>
  <si>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</si>
  <si>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</si>
  <si>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</si>
  <si>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</si>
  <si>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</si>
  <si>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</si>
  <si>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</si>
  <si>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</si>
  <si>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</si>
  <si>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</si>
  <si>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</si>
  <si>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</si>
  <si>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</si>
  <si>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</si>
  <si>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</si>
  <si>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</si>
  <si>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</si>
  <si>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</si>
  <si>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</si>
  <si>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</si>
  <si>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</si>
  <si>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</si>
  <si>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</si>
  <si>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</si>
  <si>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</si>
  <si>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</si>
  <si>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</si>
  <si>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</si>
  <si>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</si>
  <si>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</si>
  <si>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</si>
  <si>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</si>
  <si>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</si>
  <si>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</si>
  <si>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</si>
  <si>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</si>
  <si>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</si>
  <si>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</si>
  <si>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</si>
  <si>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</si>
  <si>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</si>
  <si>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</si>
  <si>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</si>
  <si>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</si>
  <si>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</si>
  <si>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</si>
  <si>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</si>
  <si>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</si>
  <si>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</si>
  <si>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</si>
  <si>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</si>
  <si>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</si>
  <si>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</si>
  <si>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</si>
  <si>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</si>
  <si>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</si>
  <si>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</si>
  <si>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</si>
  <si>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</si>
  <si>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</si>
  <si>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</si>
  <si>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</si>
  <si>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</si>
  <si>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</si>
  <si>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</si>
  <si>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</si>
  <si>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</si>
  <si>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</si>
  <si>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</si>
  <si>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</si>
  <si>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</si>
  <si>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</si>
  <si>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</si>
  <si>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</si>
  <si>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</si>
  <si>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</si>
  <si>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</si>
  <si>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</si>
  <si>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</si>
  <si>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</si>
  <si>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</si>
  <si>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</si>
  <si>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</si>
  <si>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</si>
  <si>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</si>
  <si>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</si>
  <si>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</si>
  <si>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</si>
  <si>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</si>
  <si>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</si>
  <si>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</si>
  <si>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</si>
  <si>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</si>
  <si>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</si>
  <si>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</si>
  <si>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</si>
  <si>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</si>
  <si>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</si>
  <si>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</si>
  <si>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</si>
  <si>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</si>
  <si>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</si>
  <si>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</si>
  <si>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</si>
  <si>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</si>
  <si>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</si>
  <si>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</si>
  <si>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</si>
  <si>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</si>
  <si>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</si>
  <si>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</si>
  <si>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</si>
  <si>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</si>
  <si>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</si>
  <si>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</si>
  <si>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</si>
  <si>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</si>
  <si>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</si>
  <si>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</si>
  <si>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</si>
  <si>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</si>
  <si>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</si>
  <si>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</si>
  <si>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</si>
  <si>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</si>
  <si>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</si>
  <si>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</si>
  <si>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</si>
  <si>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</si>
  <si>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</si>
  <si>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</si>
  <si>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</si>
  <si>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</si>
  <si>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</si>
  <si>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</si>
  <si>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</si>
  <si>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</si>
  <si>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</si>
  <si>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</si>
  <si>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</si>
  <si>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</si>
  <si>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</si>
  <si>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</si>
  <si>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</si>
  <si>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</si>
  <si>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</si>
  <si>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</si>
  <si>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</si>
  <si>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</si>
  <si>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</si>
  <si>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</si>
  <si>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</si>
  <si>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</si>
  <si>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</si>
  <si>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</si>
  <si>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</si>
  <si>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</si>
  <si>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</si>
  <si>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</si>
  <si>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</si>
  <si>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</si>
  <si>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</si>
  <si>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</si>
  <si>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</si>
  <si>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</si>
  <si>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</si>
  <si>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</si>
  <si>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</si>
  <si>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</si>
  <si>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</si>
  <si>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</si>
  <si>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</si>
  <si>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</si>
  <si>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</si>
  <si>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</si>
  <si>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</si>
  <si>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</si>
  <si>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</si>
  <si>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</si>
  <si>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</si>
  <si>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</si>
  <si>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</si>
  <si>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</si>
  <si>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</si>
  <si>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</si>
  <si>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</si>
  <si>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</si>
  <si>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</si>
  <si>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</si>
  <si>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</si>
  <si>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</si>
  <si>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</si>
  <si>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</si>
  <si>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</si>
  <si>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</si>
  <si>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</si>
  <si>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</si>
  <si>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</si>
  <si>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</si>
  <si>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</si>
  <si>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</si>
  <si>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</si>
  <si>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</si>
  <si>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</si>
  <si>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</si>
  <si>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</si>
  <si>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</si>
  <si>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</si>
  <si>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</si>
  <si>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</si>
  <si>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</si>
  <si>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</si>
  <si>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</si>
  <si>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</si>
  <si>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</si>
  <si>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</si>
  <si>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</si>
  <si>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</si>
  <si>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</si>
  <si>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</si>
  <si>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</si>
  <si>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</si>
  <si>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</si>
  <si>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</si>
  <si>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</si>
  <si>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</si>
  <si>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</si>
  <si>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</si>
  <si>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</si>
  <si>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</si>
  <si>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</si>
  <si>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</si>
  <si>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</si>
  <si>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</si>
  <si>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</si>
  <si>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</si>
  <si>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</si>
  <si>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</si>
  <si>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</si>
  <si>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</si>
  <si>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</si>
  <si>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</si>
  <si>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</si>
  <si>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</si>
  <si>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</si>
  <si>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</si>
  <si>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</si>
  <si>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</si>
  <si>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</si>
  <si>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</si>
  <si>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</si>
  <si>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</si>
  <si>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</si>
  <si>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</si>
  <si>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</si>
  <si>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</si>
  <si>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</si>
  <si>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</si>
  <si>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</si>
  <si>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</si>
  <si>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</si>
  <si>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</si>
  <si>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</si>
  <si>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</si>
  <si>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</si>
  <si>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</si>
  <si>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</si>
  <si>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</si>
  <si>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</si>
  <si>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</si>
  <si>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</si>
  <si>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</si>
  <si>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</si>
  <si>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</si>
  <si>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</si>
  <si>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</si>
  <si>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</si>
  <si>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</si>
  <si>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</si>
  <si>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</si>
  <si>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</si>
  <si>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</si>
  <si>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</si>
  <si>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</si>
  <si>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</si>
  <si>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</si>
  <si>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</si>
  <si>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</si>
  <si>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</si>
  <si>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</si>
  <si>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</si>
  <si>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</si>
  <si>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</si>
  <si>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</si>
  <si>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</si>
  <si>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</si>
  <si>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</si>
  <si>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</si>
  <si>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</si>
  <si>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</si>
  <si>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</si>
  <si>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</si>
  <si>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</si>
  <si>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</si>
  <si>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</si>
  <si>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</si>
  <si>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</si>
  <si>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</si>
  <si>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</si>
  <si>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</si>
  <si>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</si>
  <si>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</si>
  <si>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</si>
  <si>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</si>
  <si>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</si>
  <si>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</si>
  <si>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</si>
  <si>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</si>
  <si>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</si>
  <si>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</si>
  <si>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</si>
  <si>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</si>
  <si>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</si>
  <si>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</si>
  <si>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</si>
  <si>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</si>
  <si>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</si>
  <si>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</si>
  <si>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</si>
  <si>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</si>
  <si>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</si>
  <si>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</si>
  <si>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</si>
  <si>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</si>
  <si>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</si>
  <si>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</si>
  <si>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</si>
  <si>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</si>
  <si>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</si>
  <si>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</si>
  <si>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</si>
  <si>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</si>
  <si>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</si>
  <si>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</si>
  <si>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</si>
  <si>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</si>
  <si>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</si>
  <si>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</si>
  <si>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</si>
  <si>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</si>
  <si>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</si>
  <si>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</si>
  <si>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</si>
  <si>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</si>
  <si>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</si>
  <si>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</si>
  <si>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</si>
  <si>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</si>
  <si>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</si>
  <si>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</si>
  <si>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</si>
  <si>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</si>
  <si>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</si>
  <si>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</si>
  <si>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</si>
  <si>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</si>
  <si>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</si>
  <si>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</si>
  <si>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</si>
  <si>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</si>
  <si>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</si>
  <si>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</si>
  <si>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</si>
  <si>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</si>
  <si>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</si>
  <si>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</si>
  <si>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</si>
  <si>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</si>
  <si>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</si>
  <si>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</si>
  <si>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</si>
  <si>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</si>
  <si>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</si>
  <si>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</si>
  <si>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</si>
  <si>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</si>
  <si>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</si>
  <si>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</si>
  <si>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</si>
  <si>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</si>
  <si>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</si>
  <si>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</si>
  <si>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</si>
  <si>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</si>
  <si>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</si>
  <si>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</si>
  <si>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</si>
  <si>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</si>
  <si>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</si>
  <si>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</si>
  <si>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</si>
  <si>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</si>
  <si>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</si>
  <si>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</si>
  <si>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</si>
  <si>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</si>
  <si>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</si>
  <si>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</si>
  <si>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</si>
  <si>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</si>
  <si>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</si>
  <si>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</si>
  <si>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</si>
  <si>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</si>
  <si>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</si>
  <si>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</si>
  <si>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</si>
  <si>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</si>
  <si>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</si>
  <si>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</si>
  <si>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</si>
  <si>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</si>
  <si>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</si>
  <si>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</si>
  <si>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</si>
  <si>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</si>
  <si>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</si>
  <si>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</si>
  <si>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</si>
  <si>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</si>
  <si>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</si>
  <si>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</si>
  <si>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</si>
  <si>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</si>
  <si>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</si>
  <si>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</si>
  <si>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</si>
  <si>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</si>
  <si>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</si>
  <si>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</si>
  <si>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</si>
  <si>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</si>
  <si>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</si>
  <si>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</si>
  <si>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</si>
  <si>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</si>
  <si>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</si>
  <si>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</si>
  <si>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</si>
  <si>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</si>
  <si>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</si>
  <si>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</si>
  <si>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</si>
  <si>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</si>
  <si>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</si>
  <si>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</si>
  <si>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</si>
  <si>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</si>
  <si>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</si>
  <si>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</si>
  <si>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</si>
  <si>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</si>
  <si>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</si>
  <si>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</si>
  <si>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</si>
  <si>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</si>
  <si>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</si>
  <si>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</si>
  <si>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</si>
  <si>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</si>
  <si>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</si>
  <si>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</si>
  <si>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</si>
  <si>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</si>
  <si>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</si>
  <si>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</si>
  <si>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</si>
  <si>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</si>
  <si>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</si>
  <si>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</si>
  <si>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</si>
  <si>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</si>
  <si>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</si>
  <si>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</si>
  <si>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</si>
  <si>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</si>
  <si>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</si>
  <si>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</si>
  <si>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</si>
  <si>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</si>
  <si>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</si>
  <si>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</si>
  <si>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</si>
  <si>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</si>
  <si>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</si>
  <si>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</si>
  <si>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</si>
  <si>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</si>
  <si>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</si>
  <si>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</si>
  <si>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</si>
  <si>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</si>
  <si>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</si>
  <si>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</si>
  <si>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</si>
  <si>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</si>
  <si>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</si>
  <si>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</si>
  <si>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</si>
  <si>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</si>
  <si>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</si>
  <si>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</si>
  <si>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</si>
  <si>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</si>
  <si>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</si>
  <si>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</si>
  <si>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</si>
  <si>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</si>
  <si>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</si>
  <si>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</si>
  <si>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</si>
  <si>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</si>
  <si>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</si>
  <si>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</si>
  <si>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</si>
  <si>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</si>
  <si>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</si>
  <si>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</si>
  <si>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</si>
  <si>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</si>
  <si>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</si>
  <si>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</si>
  <si>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</si>
  <si>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</si>
  <si>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</si>
  <si>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</si>
  <si>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</si>
  <si>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</si>
  <si>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</si>
  <si>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</si>
  <si>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</si>
  <si>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</si>
  <si>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</si>
  <si>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</si>
  <si>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</si>
  <si>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</si>
  <si>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</si>
  <si>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</si>
  <si>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</si>
  <si>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</si>
  <si>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</si>
  <si>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</si>
  <si>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</si>
  <si>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</si>
  <si>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</si>
  <si>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</si>
  <si>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</si>
  <si>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</si>
  <si>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</si>
  <si>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</si>
  <si>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</si>
  <si>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</si>
  <si>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</si>
  <si>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</si>
  <si>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</si>
  <si>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</si>
  <si>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</si>
  <si>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</si>
  <si>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</si>
  <si>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</si>
  <si>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</si>
  <si>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</si>
  <si>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</si>
  <si>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</si>
  <si>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</si>
  <si>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</si>
  <si>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</si>
  <si>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</si>
  <si>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</si>
  <si>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</si>
  <si>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</si>
  <si>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</si>
  <si>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</si>
  <si>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</si>
  <si>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</si>
  <si>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</si>
  <si>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</si>
  <si>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</si>
  <si>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</si>
  <si>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</si>
  <si>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</si>
  <si>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</si>
  <si>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</si>
  <si>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</si>
  <si>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</si>
  <si>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</si>
  <si>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</si>
  <si>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</si>
  <si>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</si>
  <si>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</si>
  <si>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</si>
  <si>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</si>
  <si>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</si>
  <si>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</si>
  <si>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</si>
  <si>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</si>
  <si>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</si>
  <si>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</si>
  <si>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</si>
  <si>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</si>
  <si>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</si>
  <si>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</si>
  <si>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</si>
  <si>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</si>
  <si>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</si>
  <si>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</si>
  <si>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</si>
  <si>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</si>
  <si>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</si>
  <si>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</si>
  <si>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</si>
  <si>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</si>
  <si>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</si>
  <si>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</si>
  <si>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</si>
  <si>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</si>
  <si>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</si>
  <si>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</si>
  <si>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</si>
  <si>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</si>
  <si>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</si>
  <si>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</si>
  <si>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</si>
  <si>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</si>
  <si>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</si>
  <si>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</si>
  <si>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</si>
  <si>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</si>
  <si>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</si>
  <si>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</si>
  <si>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</si>
  <si>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</si>
  <si>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</si>
  <si>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</si>
  <si>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</si>
  <si>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</si>
  <si>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</si>
  <si>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</si>
  <si>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</si>
  <si>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</si>
  <si>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</si>
  <si>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</si>
  <si>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</si>
  <si>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</si>
  <si>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</si>
  <si>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</si>
  <si>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</si>
  <si>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</si>
  <si>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</si>
  <si>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</si>
  <si>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</si>
  <si>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</si>
  <si>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</si>
  <si>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</si>
  <si>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</si>
  <si>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</si>
  <si>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</si>
  <si>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</si>
  <si>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</si>
  <si>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</si>
  <si>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</si>
  <si>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</si>
  <si>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</si>
  <si>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</si>
  <si>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</si>
  <si>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</si>
  <si>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</si>
  <si>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</si>
  <si>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</si>
  <si>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</si>
  <si>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</si>
  <si>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</si>
  <si>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</si>
  <si>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</si>
  <si>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</si>
  <si>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</si>
  <si>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</si>
  <si>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</si>
  <si>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</si>
  <si>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</si>
  <si>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</si>
  <si>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</si>
  <si>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</si>
  <si>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</si>
  <si>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</si>
  <si>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</si>
  <si>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</si>
  <si>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</si>
  <si>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</si>
  <si>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</si>
  <si>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</si>
  <si>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</si>
  <si>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</si>
  <si>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</si>
  <si>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</si>
  <si>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</si>
  <si>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</si>
  <si>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</si>
  <si>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</si>
  <si>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</si>
  <si>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</si>
  <si>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</si>
  <si>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</si>
  <si>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</si>
  <si>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</si>
  <si>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</si>
  <si>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</si>
  <si>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</si>
  <si>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</si>
  <si>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</si>
  <si>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</si>
  <si>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</si>
  <si>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</si>
  <si>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</si>
  <si>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</si>
  <si>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</si>
  <si>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</si>
  <si>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</si>
  <si>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</si>
  <si>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</si>
  <si>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</si>
  <si>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</si>
  <si>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</si>
  <si>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</si>
  <si>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</si>
  <si>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</si>
  <si>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</si>
  <si>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</si>
  <si>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</si>
  <si>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</si>
  <si>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</si>
  <si>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</si>
  <si>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</si>
  <si>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</si>
  <si>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</si>
  <si>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</si>
  <si>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</si>
  <si>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</si>
  <si>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</si>
  <si>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</si>
  <si>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</si>
  <si>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</si>
  <si>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</si>
  <si>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</si>
  <si>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</si>
  <si>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</si>
  <si>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</si>
  <si>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</si>
  <si>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</si>
  <si>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</si>
  <si>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</si>
  <si>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</si>
  <si>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</si>
  <si>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</si>
  <si>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</si>
  <si>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</si>
  <si>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</si>
  <si>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</si>
  <si>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</si>
  <si>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</si>
  <si>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</si>
  <si>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</si>
  <si>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</si>
  <si>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</si>
  <si>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</si>
  <si>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</si>
  <si>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</si>
  <si>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</si>
  <si>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</si>
  <si>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</si>
  <si>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</si>
  <si>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</si>
  <si>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</si>
  <si>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</si>
  <si>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</si>
  <si>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</si>
  <si>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</si>
  <si>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</si>
  <si>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</si>
  <si>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</si>
  <si>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</si>
  <si>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</si>
  <si>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</si>
  <si>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</si>
  <si>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</si>
  <si>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</si>
  <si>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</si>
  <si>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</si>
  <si>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</si>
  <si>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</si>
  <si>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</si>
  <si>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</si>
  <si>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</si>
  <si>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</si>
  <si>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</si>
  <si>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</si>
  <si>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</si>
  <si>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</si>
  <si>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</si>
  <si>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</si>
  <si>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</si>
  <si>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</si>
  <si>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</si>
  <si>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</si>
  <si>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</si>
  <si>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</si>
  <si>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</si>
  <si>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</si>
  <si>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</si>
  <si>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</si>
  <si>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</si>
  <si>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</si>
  <si>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</si>
  <si>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</si>
  <si>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</si>
  <si>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</si>
  <si>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</si>
  <si>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</si>
  <si>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</si>
  <si>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</si>
  <si>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</si>
  <si>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</si>
  <si>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</si>
  <si>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</si>
  <si>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</si>
  <si>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</si>
  <si>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</si>
  <si>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</si>
  <si>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</si>
  <si>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</si>
  <si>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</si>
  <si>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</si>
  <si>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</si>
  <si>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</si>
  <si>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</si>
  <si>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</si>
  <si>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</si>
  <si>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</si>
  <si>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</si>
  <si>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</si>
  <si>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</si>
  <si>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</si>
  <si>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</si>
  <si>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</si>
  <si>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</si>
  <si>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</si>
  <si>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</si>
  <si>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</si>
  <si>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</si>
  <si>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</si>
  <si>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</si>
  <si>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</si>
  <si>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</si>
  <si>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</si>
  <si>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</si>
  <si>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</si>
  <si>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</si>
  <si>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</si>
  <si>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</si>
  <si>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</si>
  <si>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</si>
  <si>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</si>
  <si>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</si>
  <si>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</si>
  <si>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</si>
  <si>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</si>
  <si>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</si>
  <si>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</si>
  <si>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</si>
  <si>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</si>
  <si>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</si>
  <si>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</si>
  <si>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</si>
  <si>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</si>
  <si>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</si>
  <si>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</si>
  <si>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</si>
  <si>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</si>
  <si>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</si>
  <si>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</si>
  <si>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</si>
  <si>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</si>
  <si>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</si>
  <si>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</si>
  <si>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</si>
  <si>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</si>
  <si>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</si>
  <si>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</si>
  <si>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</si>
  <si>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</si>
  <si>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</si>
  <si>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</si>
  <si>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</si>
  <si>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</si>
  <si>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</si>
  <si>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</si>
  <si>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</si>
  <si>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</si>
  <si>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</si>
  <si>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</si>
  <si>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</si>
  <si>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</si>
  <si>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</si>
  <si>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</si>
  <si>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</si>
  <si>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</si>
  <si>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</si>
  <si>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</si>
  <si>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</si>
  <si>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</si>
  <si>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</si>
  <si>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</si>
  <si>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</si>
  <si>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</si>
  <si>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</si>
  <si>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</si>
  <si>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</si>
  <si>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</si>
  <si>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</si>
  <si>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</si>
  <si>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</si>
  <si>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</si>
  <si>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</si>
  <si>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</si>
  <si>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</si>
  <si>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</si>
  <si>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</si>
  <si>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</si>
  <si>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</si>
  <si>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</si>
  <si>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</si>
  <si>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</si>
  <si>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</si>
  <si>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</si>
  <si>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</si>
  <si>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</si>
  <si>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</si>
  <si>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</si>
  <si>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</si>
  <si>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</si>
  <si>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</si>
  <si>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</si>
  <si>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</si>
  <si>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</si>
  <si>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</si>
  <si>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</si>
  <si>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</si>
  <si>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</si>
  <si>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</si>
  <si>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</si>
  <si>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</si>
  <si>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</si>
  <si>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</si>
  <si>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</si>
  <si>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</si>
  <si>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</si>
  <si>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</si>
  <si>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</si>
  <si>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</si>
  <si>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</si>
  <si>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</si>
  <si>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</si>
  <si>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</si>
  <si>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</si>
  <si>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</si>
  <si>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</si>
  <si>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</si>
  <si>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</si>
  <si>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</si>
  <si>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</si>
  <si>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</si>
  <si>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</si>
  <si>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</si>
  <si>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</si>
  <si>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</si>
  <si>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</si>
  <si>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</si>
  <si>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</si>
  <si>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</si>
  <si>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</si>
  <si>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</si>
  <si>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</si>
  <si>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</si>
  <si>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</si>
  <si>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</si>
  <si>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</si>
  <si>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</si>
  <si>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</si>
  <si>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</si>
  <si>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</si>
  <si>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</si>
  <si>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</si>
  <si>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</si>
  <si>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</si>
  <si>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</si>
  <si>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</si>
  <si>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</si>
  <si>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</si>
  <si>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</si>
  <si>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</si>
  <si>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</si>
  <si>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</si>
  <si>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</si>
  <si>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</si>
  <si>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</si>
  <si>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</si>
  <si>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</si>
  <si>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</si>
  <si>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</si>
  <si>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</si>
  <si>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</si>
  <si>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</si>
  <si>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</si>
  <si>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</si>
  <si>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</si>
  <si>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</si>
  <si>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</si>
  <si>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</si>
  <si>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</si>
  <si>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</si>
  <si>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</si>
  <si>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</si>
  <si>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</si>
  <si>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</si>
  <si>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</si>
  <si>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</si>
  <si>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</si>
  <si>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</si>
  <si>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</si>
  <si>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</si>
  <si>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</si>
  <si>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</si>
  <si>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</si>
  <si>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</si>
  <si>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</si>
  <si>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</si>
  <si>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</si>
  <si>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</si>
  <si>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</si>
  <si>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</si>
  <si>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</si>
  <si>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</si>
  <si>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</si>
  <si>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</si>
  <si>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</si>
  <si>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</si>
  <si>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</si>
  <si>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</si>
  <si>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</si>
  <si>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</si>
  <si>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</si>
  <si>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</si>
  <si>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</si>
  <si>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</si>
  <si>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</si>
  <si>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</si>
  <si>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</si>
  <si>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</si>
  <si>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</si>
  <si>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</si>
  <si>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</si>
  <si>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</si>
  <si>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</si>
  <si>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</si>
  <si>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</si>
  <si>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</si>
  <si>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</si>
  <si>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</si>
  <si>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</si>
  <si>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</si>
  <si>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</si>
  <si>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</si>
  <si>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</si>
  <si>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</si>
  <si>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</si>
  <si>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</si>
  <si>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</si>
  <si>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</si>
  <si>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</si>
  <si>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</si>
  <si>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</si>
  <si>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</si>
  <si>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</si>
  <si>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</si>
  <si>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</si>
  <si>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</si>
  <si>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</si>
  <si>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</si>
  <si>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</si>
  <si>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</si>
  <si>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</si>
  <si>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</si>
  <si>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</si>
  <si>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</si>
  <si>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</si>
  <si>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</si>
  <si>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</si>
  <si>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</si>
  <si>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</si>
  <si>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</si>
  <si>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</si>
  <si>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</si>
  <si>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</si>
  <si>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</si>
  <si>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</si>
  <si>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</si>
  <si>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</si>
  <si>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</si>
  <si>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</si>
  <si>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</si>
  <si>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</si>
  <si>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</si>
  <si>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</si>
  <si>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</si>
  <si>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</si>
  <si>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</si>
  <si>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</si>
  <si>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</si>
  <si>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</si>
  <si>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</si>
  <si>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</si>
  <si>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</si>
  <si>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</si>
  <si>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</si>
  <si>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</si>
  <si>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</si>
  <si>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</si>
  <si>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</si>
  <si>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</si>
  <si>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</si>
  <si>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</si>
  <si>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</si>
  <si>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</si>
  <si>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</si>
  <si>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</si>
  <si>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</si>
  <si>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</si>
  <si>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</si>
  <si>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</si>
  <si>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</si>
  <si>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</si>
  <si>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</si>
  <si>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</si>
  <si>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</si>
  <si>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</si>
  <si>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</si>
  <si>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</si>
  <si>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</si>
  <si>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</si>
  <si>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</si>
  <si>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</si>
  <si>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</si>
  <si>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</si>
  <si>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</si>
  <si>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</si>
  <si>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</si>
  <si>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</si>
  <si>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</si>
  <si>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</si>
  <si>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</si>
  <si>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</si>
  <si>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</si>
  <si>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</si>
  <si>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</si>
  <si>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</si>
  <si>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</si>
  <si>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</si>
  <si>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</si>
  <si>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</si>
  <si>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</si>
  <si>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</si>
  <si>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</si>
  <si>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</si>
  <si>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</si>
  <si>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</si>
  <si>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</si>
  <si>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</si>
  <si>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</si>
  <si>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</si>
  <si>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</si>
  <si>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</si>
  <si>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</si>
  <si>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</si>
  <si>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</si>
  <si>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</si>
  <si>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</si>
  <si>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</si>
  <si>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</si>
  <si>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</si>
  <si>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</si>
  <si>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</si>
  <si>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</si>
  <si>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</si>
  <si>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</si>
  <si>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</si>
  <si>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</si>
  <si>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</si>
  <si>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</si>
  <si>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</si>
  <si>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</si>
  <si>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</si>
  <si>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</si>
  <si>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</si>
  <si>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</si>
  <si>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</si>
  <si>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</si>
  <si>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</si>
  <si>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</si>
  <si>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</si>
  <si>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</si>
  <si>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</si>
  <si>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</si>
  <si>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</si>
  <si>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</si>
  <si>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</si>
  <si>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</si>
  <si>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</si>
  <si>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</si>
  <si>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</si>
  <si>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</si>
  <si>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</si>
  <si>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</si>
  <si>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</si>
  <si>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</si>
  <si>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</si>
  <si>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</si>
  <si>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</si>
  <si>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</si>
  <si>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</si>
  <si>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</si>
  <si>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</si>
  <si>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</si>
  <si>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</si>
  <si>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</si>
  <si>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</si>
  <si>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</si>
  <si>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</si>
  <si>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</si>
  <si>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</si>
  <si>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</si>
  <si>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</si>
  <si>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</si>
  <si>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</si>
  <si>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</si>
  <si>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</si>
  <si>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</si>
  <si>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</si>
  <si>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</si>
  <si>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</si>
  <si>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</si>
  <si>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</si>
  <si>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</si>
  <si>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</si>
  <si>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</si>
  <si>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</si>
  <si>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</si>
  <si>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</si>
  <si>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</si>
  <si>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</si>
  <si>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</si>
  <si>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</si>
  <si>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</si>
  <si>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</si>
  <si>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</si>
  <si>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</si>
  <si>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</si>
  <si>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</si>
  <si>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</si>
  <si>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</si>
  <si>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</si>
  <si>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</si>
  <si>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</si>
  <si>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</si>
  <si>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</si>
  <si>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</si>
  <si>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</si>
  <si>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</si>
  <si>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</si>
  <si>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</si>
  <si>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</si>
  <si>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</si>
  <si>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</si>
  <si>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</si>
  <si>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</si>
  <si>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</si>
  <si>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</si>
  <si>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</si>
  <si>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</si>
  <si>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</si>
  <si>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</si>
  <si>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</si>
  <si>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</si>
  <si>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</si>
  <si>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</si>
  <si>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</si>
  <si>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</si>
  <si>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</si>
  <si>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</si>
  <si>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</si>
  <si>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</si>
  <si>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</si>
  <si>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</si>
  <si>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</si>
  <si>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</si>
  <si>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</si>
  <si>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</si>
  <si>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</si>
  <si>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</si>
  <si>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</si>
  <si>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</si>
  <si>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</si>
  <si>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</si>
  <si>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</si>
  <si>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</si>
  <si>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</si>
  <si>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</si>
  <si>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</si>
  <si>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</si>
  <si>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</si>
  <si>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</si>
  <si>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</si>
  <si>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</si>
  <si>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</si>
  <si>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</si>
  <si>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</si>
  <si>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</si>
  <si>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</si>
  <si>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</si>
  <si>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</si>
  <si>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</si>
  <si>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</si>
  <si>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</si>
  <si>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</si>
  <si>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</si>
  <si>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</si>
  <si>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</si>
  <si>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</si>
  <si>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</si>
  <si>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</si>
  <si>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</si>
  <si>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</si>
  <si>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</si>
  <si>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</si>
  <si>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</si>
  <si>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</si>
  <si>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</si>
  <si>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</si>
  <si>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</si>
  <si>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</si>
  <si>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</si>
  <si>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</si>
  <si>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</si>
  <si>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</si>
  <si>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</si>
  <si>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</si>
  <si>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</si>
  <si>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</si>
  <si>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</si>
  <si>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</si>
  <si>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</si>
  <si>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</si>
  <si>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</si>
  <si>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</si>
  <si>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</si>
  <si>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</si>
  <si>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</si>
  <si>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</si>
  <si>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</si>
  <si>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</si>
  <si>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</si>
  <si>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</si>
  <si>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</si>
  <si>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</si>
  <si>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</si>
  <si>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</si>
  <si>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</si>
  <si>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</si>
  <si>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</si>
  <si>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</si>
  <si>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</si>
  <si>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</si>
  <si>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</si>
  <si>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</si>
  <si>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</si>
  <si>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</si>
  <si>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</si>
  <si>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</si>
  <si>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</si>
  <si>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</si>
  <si>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</si>
  <si>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</si>
  <si>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</si>
  <si>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</si>
  <si>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</si>
  <si>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</si>
  <si>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</si>
  <si>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</si>
  <si>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</si>
  <si>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</si>
  <si>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</si>
  <si>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</si>
  <si>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</si>
  <si>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</si>
  <si>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</si>
  <si>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</si>
  <si>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</si>
  <si>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</si>
  <si>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</si>
  <si>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</si>
  <si>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</si>
  <si>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</si>
  <si>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</si>
  <si>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</si>
  <si>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</si>
  <si>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</si>
  <si>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</si>
  <si>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</si>
  <si>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</si>
  <si>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</si>
  <si>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</si>
  <si>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</si>
  <si>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</si>
  <si>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</si>
  <si>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</si>
  <si>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</si>
  <si>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</si>
  <si>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</si>
  <si>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</si>
  <si>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</si>
  <si>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</si>
  <si>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</si>
  <si>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</si>
  <si>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</si>
  <si>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</si>
  <si>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</si>
  <si>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</si>
  <si>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</si>
  <si>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</si>
  <si>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</si>
  <si>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</si>
  <si>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</si>
  <si>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</si>
  <si>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</si>
  <si>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</si>
  <si>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</si>
  <si>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</si>
  <si>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</si>
  <si>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</si>
  <si>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</si>
  <si>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</si>
  <si>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</si>
  <si>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</si>
  <si>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</si>
  <si>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</si>
  <si>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</si>
  <si>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</si>
  <si>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</si>
  <si>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</si>
  <si>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</si>
  <si>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</si>
  <si>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</si>
  <si>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</si>
  <si>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</si>
  <si>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</si>
  <si>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</si>
  <si>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</si>
  <si>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</si>
  <si>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</si>
  <si>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</si>
  <si>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</si>
  <si>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</si>
  <si>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</si>
  <si>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</si>
  <si>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</si>
  <si>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</si>
  <si>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</si>
  <si>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</si>
  <si>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</si>
  <si>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</si>
  <si>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</si>
  <si>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</si>
  <si>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</si>
  <si>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</si>
  <si>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</si>
  <si>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</si>
  <si>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</si>
  <si>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</si>
  <si>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</si>
  <si>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</si>
  <si>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</si>
  <si>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</si>
  <si>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</si>
  <si>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</si>
  <si>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</si>
  <si>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</si>
  <si>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</si>
  <si>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</si>
  <si>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</si>
  <si>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</si>
  <si>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</si>
  <si>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</si>
  <si>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</si>
  <si>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</si>
  <si>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</si>
  <si>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</si>
  <si>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</si>
  <si>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</si>
  <si>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</si>
  <si>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</si>
  <si>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</si>
  <si>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</si>
  <si>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</si>
  <si>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</si>
  <si>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</si>
  <si>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</si>
  <si>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</si>
  <si>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</si>
  <si>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</si>
  <si>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</si>
  <si>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</si>
  <si>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</si>
  <si>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</si>
  <si>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</si>
  <si>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</si>
  <si>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</si>
  <si>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</si>
  <si>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</si>
  <si>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</si>
  <si>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</si>
  <si>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</si>
  <si>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</si>
  <si>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</si>
  <si>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</si>
  <si>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</si>
  <si>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</si>
  <si>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</si>
  <si>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</si>
  <si>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</si>
  <si>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</si>
  <si>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</si>
  <si>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</si>
  <si>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</si>
  <si>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</si>
  <si>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</si>
  <si>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</si>
  <si>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</si>
  <si>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</si>
  <si>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</si>
  <si>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</si>
  <si>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</si>
  <si>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</si>
  <si>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</si>
  <si>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</si>
  <si>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</si>
  <si>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</si>
  <si>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</si>
  <si>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</si>
  <si>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</si>
  <si>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</si>
  <si>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</si>
  <si>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</si>
  <si>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</si>
  <si>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</si>
  <si>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</si>
  <si>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</si>
  <si>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</si>
  <si>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</si>
  <si>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</si>
  <si>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</si>
  <si>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</si>
  <si>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</si>
  <si>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</si>
  <si>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</si>
  <si>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</si>
  <si>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</si>
  <si>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</si>
  <si>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</si>
  <si>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</si>
  <si>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</si>
  <si>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</si>
  <si>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</si>
  <si>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</si>
  <si>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</si>
  <si>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</si>
  <si>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</si>
  <si>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</si>
  <si>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</si>
  <si>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</si>
  <si>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</si>
  <si>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</si>
  <si>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</si>
  <si>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</si>
  <si>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</si>
  <si>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</si>
  <si>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</si>
  <si>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</si>
  <si>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</si>
  <si>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</si>
  <si>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</si>
  <si>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</si>
  <si>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</si>
  <si>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</si>
  <si>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</si>
  <si>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</si>
  <si>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</si>
  <si>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</si>
  <si>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</si>
  <si>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</si>
  <si>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</si>
  <si>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</si>
  <si>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</si>
  <si>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</si>
  <si>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</si>
  <si>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</si>
  <si>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</si>
  <si>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</si>
  <si>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</si>
  <si>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</si>
  <si>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</si>
  <si>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</si>
  <si>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</si>
  <si>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</si>
  <si>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</si>
  <si>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</si>
  <si>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</si>
  <si>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</si>
  <si>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</si>
  <si>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</si>
  <si>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</si>
  <si>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</si>
  <si>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</si>
  <si>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</si>
  <si>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</si>
  <si>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</si>
  <si>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</si>
  <si>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</si>
  <si>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</si>
  <si>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</si>
  <si>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</si>
  <si>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</si>
  <si>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</si>
  <si>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</si>
  <si>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</si>
  <si>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</si>
  <si>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</si>
  <si>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</si>
  <si>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</si>
  <si>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</si>
  <si>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</si>
  <si>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</si>
  <si>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</si>
  <si>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</si>
  <si>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</si>
  <si>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</si>
  <si>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</si>
  <si>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</si>
  <si>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</si>
  <si>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</si>
  <si>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</si>
  <si>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</si>
  <si>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</si>
  <si>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</si>
  <si>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</si>
  <si>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</si>
  <si>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</si>
  <si>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</si>
  <si>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</si>
  <si>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</si>
  <si>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</si>
  <si>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</si>
  <si>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</si>
  <si>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</si>
  <si>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</si>
  <si>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</si>
  <si>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</si>
  <si>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</si>
  <si>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</si>
  <si>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</si>
  <si>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</si>
  <si>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</si>
  <si>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</si>
  <si>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</si>
  <si>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</si>
  <si>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</si>
  <si>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</si>
  <si>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</si>
  <si>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</si>
  <si>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</si>
  <si>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</si>
  <si>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</si>
  <si>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</si>
  <si>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</si>
  <si>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</si>
  <si>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</si>
  <si>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</si>
  <si>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</si>
  <si>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</si>
  <si>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</si>
  <si>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</si>
  <si>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</si>
  <si>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</si>
  <si>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</si>
  <si>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</si>
  <si>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</si>
  <si>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</si>
  <si>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</si>
  <si>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</si>
  <si>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</si>
  <si>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</si>
  <si>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</si>
  <si>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</si>
  <si>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</si>
  <si>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</si>
  <si>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</si>
  <si>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</si>
  <si>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</si>
  <si>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</si>
  <si>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</si>
  <si>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</si>
  <si>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</si>
  <si>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</si>
  <si>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</si>
  <si>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</si>
  <si>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</si>
  <si>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</si>
  <si>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</si>
  <si>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</si>
  <si>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</si>
  <si>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</si>
  <si>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</si>
  <si>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</si>
  <si>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</si>
  <si>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</si>
  <si>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</si>
  <si>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</si>
  <si>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</si>
  <si>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</si>
  <si>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</si>
  <si>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</si>
  <si>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</si>
  <si>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</si>
  <si>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</si>
  <si>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</si>
  <si>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</si>
  <si>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</si>
  <si>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</si>
  <si>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</si>
  <si>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</si>
  <si>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</si>
  <si>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</si>
  <si>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</si>
  <si>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</si>
  <si>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</si>
  <si>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</si>
  <si>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</si>
  <si>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</si>
  <si>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</si>
  <si>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</si>
  <si>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</si>
  <si>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</si>
  <si>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</si>
  <si>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</si>
  <si>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</si>
  <si>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</si>
  <si>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</si>
  <si>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</si>
  <si>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</si>
  <si>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</si>
  <si>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</si>
  <si>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</si>
  <si>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</si>
  <si>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</si>
  <si>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</si>
  <si>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</si>
  <si>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</si>
  <si>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</si>
  <si>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</si>
  <si>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</si>
  <si>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</si>
  <si>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</si>
  <si>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</si>
  <si>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</si>
  <si>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</si>
  <si>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</si>
  <si>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</si>
  <si>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</si>
  <si>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</si>
  <si>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</si>
  <si>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</si>
  <si>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</si>
  <si>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</si>
  <si>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</si>
  <si>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</si>
  <si>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</si>
  <si>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</si>
  <si>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</si>
  <si>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</si>
  <si>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</si>
  <si>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</si>
  <si>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</si>
  <si>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</si>
  <si>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</si>
  <si>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</si>
  <si>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</si>
  <si>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</si>
  <si>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</si>
  <si>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</si>
  <si>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</si>
  <si>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</si>
  <si>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</si>
  <si>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</si>
  <si>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</si>
  <si>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</si>
  <si>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</si>
  <si>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</si>
  <si>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</si>
  <si>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</si>
  <si>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</si>
  <si>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</si>
  <si>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</si>
  <si>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</si>
  <si>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</si>
  <si>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</si>
  <si>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</si>
  <si>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</si>
  <si>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</si>
  <si>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</si>
  <si>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</si>
  <si>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</si>
  <si>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</si>
  <si>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</si>
  <si>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</si>
  <si>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</si>
  <si>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</si>
  <si>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</si>
  <si>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</si>
  <si>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</si>
  <si>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</si>
  <si>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</si>
  <si>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</si>
  <si>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</si>
  <si>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</si>
  <si>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</si>
  <si>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</si>
  <si>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</si>
  <si>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</si>
  <si>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</si>
  <si>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</si>
  <si>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</si>
  <si>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</si>
  <si>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</si>
  <si>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</si>
  <si>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</si>
  <si>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</si>
  <si>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</si>
  <si>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</si>
  <si>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</si>
  <si>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</si>
  <si>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</si>
  <si>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</si>
  <si>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</si>
  <si>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</si>
  <si>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</si>
  <si>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</si>
  <si>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</si>
  <si>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</si>
  <si>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</si>
  <si>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</si>
  <si>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</si>
  <si>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</si>
  <si>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</si>
  <si>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</si>
  <si>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</si>
  <si>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</si>
  <si>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</si>
  <si>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</si>
  <si>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</si>
  <si>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</si>
  <si>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</si>
  <si>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</si>
  <si>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</si>
  <si>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</si>
  <si>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</si>
  <si>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</si>
  <si>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</si>
  <si>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</si>
  <si>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</si>
  <si>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</si>
  <si>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</si>
  <si>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</si>
  <si>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</si>
  <si>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</si>
  <si>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</si>
  <si>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</si>
  <si>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</si>
  <si>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</si>
  <si>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</si>
  <si>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</si>
  <si>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</si>
  <si>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</si>
  <si>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</si>
  <si>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</si>
  <si>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</si>
  <si>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</si>
  <si>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</si>
  <si>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</si>
  <si>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</si>
  <si>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</si>
  <si>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</si>
  <si>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</si>
  <si>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</si>
  <si>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</si>
  <si>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</si>
  <si>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</si>
  <si>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</si>
  <si>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</si>
  <si>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</si>
  <si>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</si>
  <si>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</si>
  <si>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</si>
  <si>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</si>
  <si>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</si>
  <si>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</si>
  <si>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</si>
  <si>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</si>
  <si>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</si>
  <si>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</si>
  <si>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</si>
  <si>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</si>
  <si>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</si>
  <si>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</si>
  <si>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</si>
  <si>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</si>
  <si>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</si>
  <si>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</si>
  <si>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</si>
  <si>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</si>
  <si>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</si>
  <si>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</si>
  <si>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</si>
  <si>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</si>
  <si>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</si>
  <si>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</si>
  <si>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</si>
  <si>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</si>
  <si>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</si>
  <si>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</si>
  <si>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</si>
  <si>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</si>
  <si>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</si>
  <si>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</si>
  <si>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</si>
  <si>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</si>
  <si>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</si>
  <si>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</si>
  <si>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</si>
  <si>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</si>
  <si>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</si>
  <si>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</si>
  <si>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</si>
  <si>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</si>
  <si>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</si>
  <si>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</si>
  <si>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</si>
  <si>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</si>
  <si>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</si>
  <si>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</si>
  <si>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</si>
  <si>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</si>
  <si>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</si>
  <si>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</si>
  <si>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</si>
  <si>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</si>
  <si>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</si>
  <si>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</si>
  <si>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</si>
  <si>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</si>
  <si>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</si>
  <si>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</si>
  <si>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</si>
  <si>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</si>
  <si>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</si>
  <si>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</si>
  <si>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</si>
  <si>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</si>
  <si>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</si>
  <si>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</si>
  <si>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</si>
  <si>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</si>
  <si>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</si>
  <si>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</si>
  <si>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</si>
  <si>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</si>
  <si>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</si>
  <si>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</si>
  <si>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</si>
  <si>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</si>
  <si>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</si>
  <si>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</si>
  <si>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</si>
  <si>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</si>
  <si>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</si>
  <si>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</si>
  <si>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</si>
  <si>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</si>
  <si>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</si>
  <si>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</si>
  <si>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</si>
  <si>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</si>
  <si>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</si>
  <si>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</si>
  <si>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</si>
  <si>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</si>
  <si>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</si>
  <si>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</si>
  <si>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</si>
  <si>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</si>
  <si>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</si>
  <si>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</si>
  <si>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</si>
  <si>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</si>
  <si>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</si>
  <si>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</si>
  <si>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</si>
  <si>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</si>
  <si>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</si>
  <si>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</si>
  <si>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</si>
  <si>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</si>
  <si>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</si>
  <si>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</si>
  <si>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</si>
  <si>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</si>
  <si>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</si>
  <si>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</si>
  <si>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</si>
  <si>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</si>
  <si>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</si>
  <si>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</si>
  <si>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</si>
  <si>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</si>
  <si>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</si>
  <si>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</si>
  <si>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</si>
  <si>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</si>
  <si>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</si>
  <si>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</si>
  <si>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</si>
  <si>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</si>
  <si>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</si>
  <si>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</si>
  <si>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</si>
  <si>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</si>
  <si>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</si>
  <si>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</si>
  <si>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</si>
  <si>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</si>
  <si>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</si>
  <si>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</si>
  <si>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</si>
  <si>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</si>
  <si>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</si>
  <si>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</si>
  <si>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</si>
  <si>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</si>
  <si>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</si>
  <si>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</si>
  <si>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</si>
  <si>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</si>
  <si>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</si>
  <si>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</si>
  <si>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</si>
  <si>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</si>
  <si>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</si>
  <si>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</si>
  <si>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</si>
  <si>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</si>
  <si>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</si>
  <si>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</si>
  <si>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</si>
  <si>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</si>
  <si>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</si>
  <si>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</si>
  <si>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</si>
  <si>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</si>
  <si>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</si>
  <si>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</si>
  <si>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</si>
  <si>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</si>
  <si>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</si>
  <si>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</si>
  <si>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</si>
  <si>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</si>
  <si>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</si>
  <si>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</si>
  <si>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</si>
  <si>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</si>
  <si>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</si>
  <si>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</si>
  <si>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</si>
  <si>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</si>
  <si>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</si>
  <si>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</si>
  <si>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</si>
  <si>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</si>
  <si>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</si>
  <si>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</si>
  <si>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</si>
  <si>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</si>
  <si>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</si>
  <si>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</si>
  <si>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</si>
  <si>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</si>
  <si>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</si>
  <si>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</si>
  <si>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</si>
  <si>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</si>
  <si>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</si>
  <si>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</si>
  <si>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</si>
  <si>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</si>
  <si>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</si>
  <si>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</si>
  <si>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</si>
  <si>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</si>
  <si>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</si>
  <si>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</si>
  <si>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</si>
  <si>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</si>
  <si>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</si>
  <si>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</si>
  <si>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</si>
  <si>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</si>
  <si>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</si>
  <si>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</si>
  <si>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</si>
  <si>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</si>
  <si>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</si>
  <si>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</si>
  <si>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</si>
  <si>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</si>
  <si>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</si>
  <si>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</si>
  <si>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</si>
  <si>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</si>
  <si>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</si>
  <si>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</si>
  <si>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</si>
  <si>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</si>
  <si>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</si>
  <si>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</si>
  <si>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</si>
  <si>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</si>
  <si>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</si>
  <si>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</si>
  <si>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</si>
  <si>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</si>
  <si>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</si>
  <si>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</si>
  <si>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</si>
  <si>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</si>
  <si>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</si>
  <si>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</si>
  <si>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</si>
  <si>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</si>
  <si>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</si>
  <si>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</si>
  <si>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</si>
  <si>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</si>
  <si>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</si>
  <si>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</si>
  <si>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</si>
  <si>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</si>
  <si>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</si>
  <si>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</si>
  <si>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</si>
  <si>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</si>
  <si>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</si>
  <si>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</si>
  <si>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</si>
  <si>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</si>
  <si>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</si>
  <si>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</si>
  <si>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</si>
  <si>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</si>
  <si>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</si>
  <si>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</si>
  <si>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</si>
  <si>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</si>
  <si>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</si>
  <si>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</si>
  <si>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</si>
  <si>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</si>
  <si>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</si>
  <si>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</si>
  <si>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</si>
  <si>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</si>
  <si>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</si>
  <si>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</si>
  <si>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</si>
  <si>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</si>
  <si>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</si>
  <si>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</si>
  <si>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</si>
  <si>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</si>
  <si>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</si>
  <si>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</si>
  <si>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</si>
  <si>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</si>
  <si>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</si>
  <si>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</si>
  <si>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</si>
  <si>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</si>
  <si>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</si>
  <si>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</si>
  <si>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</si>
  <si>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</si>
  <si>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</si>
  <si>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</si>
  <si>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</si>
  <si>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</si>
  <si>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</si>
  <si>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</si>
  <si>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</si>
  <si>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</si>
  <si>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</si>
  <si>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</si>
  <si>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</si>
  <si>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</si>
  <si>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</si>
  <si>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</si>
  <si>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</si>
  <si>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</si>
  <si>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</si>
  <si>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</si>
  <si>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</si>
  <si>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</si>
  <si>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</si>
  <si>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</si>
  <si>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</si>
  <si>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</si>
  <si>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</si>
  <si>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</si>
  <si>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</si>
  <si>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</si>
  <si>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</si>
  <si>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</si>
  <si>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</si>
  <si>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</si>
  <si>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</si>
  <si>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</si>
  <si>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</si>
  <si>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</si>
  <si>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</si>
  <si>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</si>
  <si>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</si>
  <si>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</si>
  <si>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</si>
  <si>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</si>
  <si>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</si>
  <si>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</si>
  <si>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</si>
  <si>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</si>
  <si>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</si>
  <si>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</si>
  <si>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</si>
  <si>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</si>
  <si>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</si>
  <si>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</si>
  <si>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</si>
  <si>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</si>
  <si>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</si>
  <si>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</si>
  <si>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</si>
  <si>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</si>
  <si>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</si>
  <si>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</si>
  <si>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</si>
  <si>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</si>
  <si>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</si>
  <si>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</si>
  <si>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</si>
  <si>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</si>
  <si>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</si>
  <si>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</si>
  <si>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</si>
  <si>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</si>
  <si>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</si>
  <si>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</si>
  <si>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</si>
  <si>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</si>
  <si>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</si>
  <si>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</si>
  <si>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</si>
  <si>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</si>
  <si>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</si>
  <si>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</si>
  <si>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</si>
  <si>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</si>
  <si>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</si>
  <si>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</si>
  <si>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</si>
  <si>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</si>
  <si>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</si>
  <si>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</si>
  <si>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</si>
  <si>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</si>
  <si>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</si>
  <si>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</si>
  <si>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</si>
  <si>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</si>
  <si>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</si>
  <si>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</si>
  <si>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</si>
  <si>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</si>
  <si>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</si>
  <si>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</si>
  <si>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</si>
  <si>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</si>
  <si>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</si>
  <si>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</si>
  <si>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</si>
  <si>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</si>
  <si>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</si>
  <si>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</si>
  <si>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</si>
  <si>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</si>
  <si>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</si>
  <si>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</si>
  <si>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</si>
  <si>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</si>
  <si>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</si>
  <si>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</si>
  <si>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</si>
  <si>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</si>
  <si>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</si>
  <si>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</si>
  <si>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</si>
  <si>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</si>
  <si>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</si>
  <si>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</si>
  <si>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</si>
  <si>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</si>
  <si>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</si>
  <si>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</si>
  <si>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</si>
  <si>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</si>
  <si>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</si>
  <si>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</si>
  <si>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</si>
  <si>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</si>
  <si>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</si>
  <si>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</si>
  <si>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</si>
  <si>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</si>
  <si>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</si>
  <si>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</si>
  <si>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</si>
  <si>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</si>
  <si>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</si>
  <si>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</si>
  <si>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</si>
  <si>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</si>
  <si>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</si>
  <si>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</si>
  <si>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</si>
  <si>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</si>
  <si>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</si>
  <si>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</si>
  <si>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</si>
  <si>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</si>
  <si>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</si>
  <si>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</si>
  <si>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</si>
  <si>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</si>
  <si>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</si>
  <si>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</si>
  <si>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</si>
  <si>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</si>
  <si>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</si>
  <si>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</si>
  <si>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</si>
  <si>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</si>
  <si>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</si>
  <si>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</si>
  <si>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</si>
  <si>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</si>
  <si>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</si>
  <si>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</si>
  <si>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</si>
  <si>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</si>
  <si>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</si>
  <si>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</si>
  <si>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</si>
  <si>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</si>
  <si>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</si>
  <si>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</si>
  <si>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</si>
  <si>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</si>
  <si>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</si>
  <si>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</si>
  <si>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</si>
  <si>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</si>
  <si>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</si>
  <si>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</si>
  <si>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</si>
  <si>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</si>
  <si>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</si>
  <si>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</si>
  <si>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</si>
  <si>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</si>
  <si>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</si>
  <si>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</si>
  <si>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</si>
  <si>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</si>
  <si>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</si>
  <si>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</si>
  <si>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</si>
  <si>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</si>
  <si>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</si>
  <si>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</si>
  <si>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</si>
  <si>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</si>
  <si>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</si>
  <si>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</si>
  <si>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</si>
  <si>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</si>
  <si>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</si>
  <si>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</si>
  <si>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</si>
  <si>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</si>
  <si>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</si>
  <si>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</si>
  <si>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</si>
  <si>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</si>
  <si>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</si>
  <si>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</si>
  <si>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</si>
  <si>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</si>
  <si>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</si>
  <si>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</si>
  <si>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</si>
  <si>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</si>
  <si>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</si>
  <si>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</si>
  <si>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</si>
  <si>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</si>
  <si>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</si>
  <si>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</si>
  <si>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</si>
  <si>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</si>
  <si>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</si>
  <si>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</si>
  <si>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</si>
  <si>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</si>
  <si>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</si>
  <si>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</si>
  <si>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</si>
  <si>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</si>
  <si>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</si>
  <si>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</si>
  <si>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</si>
  <si>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</si>
  <si>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</si>
  <si>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</si>
  <si>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</si>
  <si>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</si>
  <si>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</si>
  <si>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</si>
  <si>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</si>
  <si>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</si>
  <si>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</si>
  <si>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</si>
  <si>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</si>
  <si>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</si>
  <si>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</si>
  <si>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</si>
  <si>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</si>
  <si>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</si>
  <si>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</si>
  <si>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</si>
  <si>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</si>
  <si>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</si>
  <si>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</si>
  <si>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</si>
  <si>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</si>
  <si>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</si>
  <si>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</si>
  <si>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</si>
  <si>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</si>
  <si>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</si>
  <si>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</si>
  <si>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</si>
  <si>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</si>
  <si>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</si>
  <si>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</si>
  <si>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</si>
  <si>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</si>
  <si>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</si>
  <si>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</si>
  <si>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</si>
  <si>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</si>
  <si>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</si>
  <si>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</si>
  <si>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</si>
  <si>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</si>
  <si>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</si>
  <si>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</si>
  <si>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</si>
  <si>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</si>
  <si>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</si>
  <si>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</si>
  <si>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</si>
  <si>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</si>
  <si>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</si>
  <si>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</si>
  <si>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</si>
  <si>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</si>
  <si>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</si>
  <si>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</si>
  <si>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</si>
  <si>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</si>
  <si>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</si>
  <si>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</si>
  <si>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</si>
  <si>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</si>
  <si>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</si>
  <si>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</si>
  <si>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</si>
  <si>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</si>
  <si>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</si>
  <si>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</si>
  <si>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</si>
  <si>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</si>
  <si>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</si>
  <si>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</si>
  <si>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</si>
  <si>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</si>
  <si>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</si>
  <si>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</si>
  <si>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</si>
  <si>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</si>
  <si>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</si>
  <si>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</si>
  <si>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</si>
  <si>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</si>
  <si>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</si>
  <si>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</si>
  <si>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</si>
  <si>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</si>
  <si>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</si>
  <si>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</si>
  <si>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</si>
  <si>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</si>
  <si>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</si>
  <si>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</si>
  <si>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</si>
  <si>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</si>
  <si>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</si>
  <si>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</si>
  <si>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</si>
  <si>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</si>
  <si>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</si>
  <si>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</si>
  <si>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</si>
  <si>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</si>
  <si>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</si>
  <si>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</si>
  <si>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</si>
  <si>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</si>
  <si>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</si>
  <si>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</si>
  <si>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</si>
  <si>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</si>
  <si>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</si>
  <si>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</si>
  <si>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</si>
  <si>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</si>
  <si>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</si>
  <si>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</si>
  <si>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</si>
  <si>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</si>
  <si>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</si>
  <si>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</si>
  <si>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</si>
  <si>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</si>
  <si>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</si>
  <si>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</si>
  <si>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</si>
  <si>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</si>
  <si>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</si>
  <si>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</si>
  <si>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</si>
  <si>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</si>
  <si>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</si>
  <si>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</si>
  <si>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</si>
  <si>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</si>
  <si>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</si>
  <si>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</si>
  <si>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</si>
  <si>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</si>
  <si>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</si>
  <si>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</si>
  <si>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</si>
  <si>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</si>
  <si>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</si>
  <si>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</si>
  <si>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</si>
  <si>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</si>
  <si>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</si>
  <si>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</si>
  <si>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</si>
  <si>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</si>
  <si>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</si>
  <si>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</si>
  <si>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</si>
  <si>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</si>
  <si>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</si>
  <si>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</si>
  <si>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</si>
  <si>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</si>
  <si>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</si>
  <si>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</si>
  <si>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</si>
  <si>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</si>
  <si>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</si>
  <si>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</si>
  <si>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</si>
  <si>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</si>
  <si>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</si>
  <si>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</si>
  <si>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</si>
  <si>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</si>
  <si>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</si>
  <si>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</si>
  <si>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</si>
  <si>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</si>
  <si>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</si>
  <si>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</si>
  <si>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</si>
  <si>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</si>
  <si>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</si>
  <si>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</si>
  <si>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</si>
  <si>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</si>
  <si>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</si>
  <si>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</si>
  <si>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</si>
  <si>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</si>
  <si>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</si>
  <si>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</si>
  <si>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</si>
  <si>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</si>
  <si>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</si>
  <si>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</si>
  <si>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</si>
  <si>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</si>
  <si>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</si>
  <si>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</si>
  <si>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</si>
  <si>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</si>
  <si>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</si>
  <si>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</si>
  <si>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</si>
  <si>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</si>
  <si>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</si>
  <si>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</si>
  <si>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</si>
  <si>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</si>
  <si>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</si>
  <si>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</si>
  <si>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</si>
  <si>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</si>
  <si>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</si>
  <si>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</si>
  <si>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</si>
  <si>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</si>
  <si>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</si>
  <si>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</si>
  <si>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</si>
  <si>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</si>
  <si>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</si>
  <si>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</si>
  <si>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</si>
  <si>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</si>
  <si>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</si>
  <si>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</si>
  <si>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</si>
  <si>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</si>
  <si>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</si>
  <si>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</si>
  <si>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</si>
  <si>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</si>
  <si>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</si>
  <si>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</si>
  <si>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</si>
  <si>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</si>
  <si>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</si>
  <si>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</si>
  <si>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</si>
  <si>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</si>
  <si>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</si>
  <si>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</si>
  <si>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</si>
  <si>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</si>
  <si>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</si>
  <si>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</si>
  <si>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</si>
  <si>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</si>
  <si>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</si>
  <si>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</si>
  <si>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</si>
  <si>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</si>
  <si>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</si>
  <si>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</si>
  <si>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</si>
  <si>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</si>
  <si>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</si>
  <si>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</si>
  <si>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</si>
  <si>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</si>
  <si>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</si>
  <si>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</si>
  <si>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</si>
  <si>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</si>
  <si>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</si>
  <si>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</si>
  <si>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</si>
  <si>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</si>
  <si>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</si>
  <si>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</si>
  <si>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</si>
  <si>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</si>
  <si>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</si>
  <si>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</si>
  <si>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</si>
  <si>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</si>
  <si>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</si>
  <si>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</si>
  <si>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</si>
  <si>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</si>
  <si>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</si>
  <si>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</si>
  <si>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</si>
  <si>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</si>
  <si>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</si>
  <si>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</si>
  <si>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</si>
  <si>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</si>
  <si>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</si>
  <si>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</si>
  <si>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</si>
  <si>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</si>
  <si>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</si>
  <si>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</si>
  <si>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</si>
  <si>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</si>
  <si>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</si>
  <si>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</si>
  <si>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</si>
  <si>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</si>
  <si>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</si>
  <si>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</si>
  <si>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</si>
  <si>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</si>
  <si>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</si>
  <si>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</si>
  <si>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</si>
  <si>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</si>
  <si>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</si>
  <si>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</si>
  <si>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</si>
  <si>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</si>
  <si>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</si>
  <si>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</si>
  <si>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</si>
  <si>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</si>
  <si>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</si>
  <si>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</si>
  <si>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</si>
  <si>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</si>
  <si>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</si>
  <si>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</si>
  <si>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</si>
  <si>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</si>
  <si>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</si>
  <si>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</si>
  <si>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</si>
  <si>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</si>
  <si>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</si>
  <si>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</si>
  <si>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</si>
  <si>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</si>
  <si>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</si>
  <si>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</si>
  <si>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</si>
  <si>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</si>
  <si>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 11:28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</si>
  <si>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</si>
  <si>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</si>
  <si>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</si>
  <si>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</si>
  <si>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</si>
  <si>
    <t>15/11/1397</t>
  </si>
  <si>
    <t>پارس 1305 تا 3115.9</t>
  </si>
  <si>
    <t>15/11/13297</t>
  </si>
  <si>
    <t>وسبحان 1148 تا 178.1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</si>
</sst>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E53" sqref="E5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4684</v>
      </c>
      <c r="B5" s="18">
        <v>-200000</v>
      </c>
      <c r="C5" s="18">
        <v>0</v>
      </c>
      <c r="D5" s="113">
        <f t="shared" si="0"/>
        <v>-200000</v>
      </c>
      <c r="E5" s="20" t="s">
        <v>4681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4703</v>
      </c>
      <c r="B10" s="18">
        <v>-51400</v>
      </c>
      <c r="C10" s="18">
        <v>0</v>
      </c>
      <c r="D10" s="113">
        <f t="shared" si="0"/>
        <v>-51400</v>
      </c>
      <c r="E10" s="19" t="s">
        <v>4710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4748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4748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982822</v>
      </c>
      <c r="C32" s="113">
        <f>SUM(C2:C31)</f>
        <v>0</v>
      </c>
      <c r="D32" s="113">
        <f>SUM(D2:D31)</f>
        <v>982822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23576157</v>
      </c>
      <c r="H33" s="18">
        <f>SUM(H2:H31)</f>
        <v>0</v>
      </c>
      <c r="I33" s="18">
        <f>SUM(I2:I31)</f>
        <v>23576157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4710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7" sqref="F30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1028</v>
      </c>
      <c r="H2" s="36">
        <f>IF(B2&gt;0,1,0)</f>
        <v>1</v>
      </c>
      <c r="I2" s="11">
        <f>B2*(G2-H2)</f>
        <v>17150900</v>
      </c>
      <c r="J2" s="53">
        <f>C2*(G2-H2)</f>
        <v>17150900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1027</v>
      </c>
      <c r="H3" s="36">
        <f t="shared" ref="H3:H66" si="2">IF(B3&gt;0,1,0)</f>
        <v>1</v>
      </c>
      <c r="I3" s="11">
        <f t="shared" ref="I3:I66" si="3">B3*(G3-H3)</f>
        <v>20417400000</v>
      </c>
      <c r="J3" s="53">
        <f t="shared" ref="J3:J66" si="4">C3*(G3-H3)</f>
        <v>11683062000</v>
      </c>
      <c r="K3" s="53">
        <f t="shared" ref="K3:K66" si="5">D3*(G3-H3)</f>
        <v>8734338000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1027</v>
      </c>
      <c r="H4" s="36">
        <f t="shared" si="2"/>
        <v>0</v>
      </c>
      <c r="I4" s="11">
        <f t="shared" si="3"/>
        <v>0</v>
      </c>
      <c r="J4" s="53">
        <f t="shared" si="4"/>
        <v>8729500</v>
      </c>
      <c r="K4" s="53">
        <f t="shared" si="5"/>
        <v>-8729500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1025</v>
      </c>
      <c r="H5" s="36">
        <f t="shared" si="2"/>
        <v>1</v>
      </c>
      <c r="I5" s="11">
        <f t="shared" si="3"/>
        <v>2048000000</v>
      </c>
      <c r="J5" s="53">
        <f t="shared" si="4"/>
        <v>0</v>
      </c>
      <c r="K5" s="53">
        <f t="shared" si="5"/>
        <v>2048000000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1018</v>
      </c>
      <c r="H6" s="36">
        <f t="shared" si="2"/>
        <v>0</v>
      </c>
      <c r="I6" s="11">
        <f t="shared" si="3"/>
        <v>-5090000</v>
      </c>
      <c r="J6" s="53">
        <f t="shared" si="4"/>
        <v>0</v>
      </c>
      <c r="K6" s="53">
        <f t="shared" si="5"/>
        <v>-5090000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1014</v>
      </c>
      <c r="H7" s="36">
        <f t="shared" si="2"/>
        <v>0</v>
      </c>
      <c r="I7" s="11">
        <f t="shared" si="3"/>
        <v>-1217307000</v>
      </c>
      <c r="J7" s="53">
        <f t="shared" si="4"/>
        <v>0</v>
      </c>
      <c r="K7" s="53">
        <f t="shared" si="5"/>
        <v>-1217307000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1013</v>
      </c>
      <c r="H8" s="36">
        <f t="shared" si="2"/>
        <v>0</v>
      </c>
      <c r="I8" s="11">
        <f t="shared" si="3"/>
        <v>-202600000</v>
      </c>
      <c r="J8" s="53">
        <f t="shared" si="4"/>
        <v>0</v>
      </c>
      <c r="K8" s="53">
        <f t="shared" si="5"/>
        <v>-202600000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1011</v>
      </c>
      <c r="H9" s="36">
        <f t="shared" si="2"/>
        <v>0</v>
      </c>
      <c r="I9" s="11">
        <f t="shared" si="3"/>
        <v>-713260500</v>
      </c>
      <c r="J9" s="53">
        <f t="shared" si="4"/>
        <v>0</v>
      </c>
      <c r="K9" s="53">
        <f t="shared" si="5"/>
        <v>-713260500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1002</v>
      </c>
      <c r="H10" s="36">
        <f t="shared" si="2"/>
        <v>0</v>
      </c>
      <c r="I10" s="11">
        <f t="shared" si="3"/>
        <v>-200400000</v>
      </c>
      <c r="J10" s="53">
        <f t="shared" si="4"/>
        <v>0</v>
      </c>
      <c r="K10" s="53">
        <f t="shared" si="5"/>
        <v>-200400000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1002</v>
      </c>
      <c r="H11" s="36">
        <f t="shared" si="2"/>
        <v>1</v>
      </c>
      <c r="I11" s="11">
        <f t="shared" si="3"/>
        <v>1001000000</v>
      </c>
      <c r="J11" s="53">
        <f t="shared" si="4"/>
        <v>0</v>
      </c>
      <c r="K11" s="53">
        <f t="shared" si="5"/>
        <v>1001000000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998</v>
      </c>
      <c r="H12" s="36">
        <f t="shared" si="2"/>
        <v>0</v>
      </c>
      <c r="I12" s="11">
        <f t="shared" si="3"/>
        <v>-299400000</v>
      </c>
      <c r="J12" s="53">
        <f t="shared" si="4"/>
        <v>0</v>
      </c>
      <c r="K12" s="53">
        <f t="shared" si="5"/>
        <v>-299400000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993</v>
      </c>
      <c r="H13" s="36">
        <f t="shared" si="2"/>
        <v>0</v>
      </c>
      <c r="I13" s="11">
        <f t="shared" si="3"/>
        <v>-61566000</v>
      </c>
      <c r="J13" s="53">
        <f t="shared" si="4"/>
        <v>0</v>
      </c>
      <c r="K13" s="53">
        <f t="shared" si="5"/>
        <v>-61566000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993</v>
      </c>
      <c r="H14" s="36">
        <f t="shared" si="2"/>
        <v>1</v>
      </c>
      <c r="I14" s="11">
        <f t="shared" si="3"/>
        <v>1984000000</v>
      </c>
      <c r="J14" s="53">
        <f t="shared" si="4"/>
        <v>0</v>
      </c>
      <c r="K14" s="53">
        <f t="shared" si="5"/>
        <v>1984000000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992</v>
      </c>
      <c r="H15" s="36">
        <f t="shared" si="2"/>
        <v>1</v>
      </c>
      <c r="I15" s="11">
        <f t="shared" si="3"/>
        <v>1783800000</v>
      </c>
      <c r="J15" s="53">
        <f t="shared" si="4"/>
        <v>0</v>
      </c>
      <c r="K15" s="53">
        <f t="shared" si="5"/>
        <v>1783800000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992</v>
      </c>
      <c r="H16" s="36">
        <f t="shared" si="2"/>
        <v>0</v>
      </c>
      <c r="I16" s="11">
        <f t="shared" si="3"/>
        <v>-198400000</v>
      </c>
      <c r="J16" s="53">
        <f t="shared" si="4"/>
        <v>0</v>
      </c>
      <c r="K16" s="53">
        <f t="shared" si="5"/>
        <v>-198400000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988</v>
      </c>
      <c r="H17" s="36">
        <f t="shared" si="2"/>
        <v>0</v>
      </c>
      <c r="I17" s="11">
        <f t="shared" si="3"/>
        <v>-1976000000</v>
      </c>
      <c r="J17" s="53">
        <f t="shared" si="4"/>
        <v>0</v>
      </c>
      <c r="K17" s="53">
        <f t="shared" si="5"/>
        <v>-1976000000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987</v>
      </c>
      <c r="H18" s="36">
        <f t="shared" si="2"/>
        <v>0</v>
      </c>
      <c r="I18" s="11">
        <f t="shared" si="3"/>
        <v>-296100000</v>
      </c>
      <c r="J18" s="53">
        <f t="shared" si="4"/>
        <v>0</v>
      </c>
      <c r="K18" s="53">
        <f t="shared" si="5"/>
        <v>-296100000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986</v>
      </c>
      <c r="H19" s="36">
        <f t="shared" si="2"/>
        <v>0</v>
      </c>
      <c r="I19" s="11">
        <f t="shared" si="3"/>
        <v>-197200000</v>
      </c>
      <c r="J19" s="53">
        <f t="shared" si="4"/>
        <v>0</v>
      </c>
      <c r="K19" s="53">
        <f t="shared" si="5"/>
        <v>-197200000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984</v>
      </c>
      <c r="H20" s="36">
        <f t="shared" si="2"/>
        <v>1</v>
      </c>
      <c r="I20" s="11">
        <f t="shared" si="3"/>
        <v>266480487</v>
      </c>
      <c r="J20" s="53">
        <f t="shared" si="4"/>
        <v>144945316</v>
      </c>
      <c r="K20" s="53">
        <f t="shared" si="5"/>
        <v>121535171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982</v>
      </c>
      <c r="H21" s="36">
        <f t="shared" si="2"/>
        <v>0</v>
      </c>
      <c r="I21" s="11">
        <f t="shared" si="3"/>
        <v>-1478597400</v>
      </c>
      <c r="J21" s="53">
        <f t="shared" si="4"/>
        <v>0</v>
      </c>
      <c r="K21" s="53">
        <f t="shared" si="5"/>
        <v>-1478597400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979</v>
      </c>
      <c r="H22" s="36">
        <f t="shared" si="2"/>
        <v>1</v>
      </c>
      <c r="I22" s="11">
        <f t="shared" si="3"/>
        <v>2934000000</v>
      </c>
      <c r="J22" s="53">
        <f t="shared" si="4"/>
        <v>0</v>
      </c>
      <c r="K22" s="53">
        <f t="shared" si="5"/>
        <v>2934000000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978</v>
      </c>
      <c r="H23" s="36">
        <f t="shared" si="2"/>
        <v>1</v>
      </c>
      <c r="I23" s="11">
        <f t="shared" si="3"/>
        <v>977000000</v>
      </c>
      <c r="J23" s="53">
        <f t="shared" si="4"/>
        <v>0</v>
      </c>
      <c r="K23" s="53">
        <f t="shared" si="5"/>
        <v>977000000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977</v>
      </c>
      <c r="H24" s="36">
        <f t="shared" si="2"/>
        <v>0</v>
      </c>
      <c r="I24" s="11">
        <f t="shared" si="3"/>
        <v>-2931879300</v>
      </c>
      <c r="J24" s="53">
        <f t="shared" si="4"/>
        <v>0</v>
      </c>
      <c r="K24" s="53">
        <f t="shared" si="5"/>
        <v>-2931879300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962</v>
      </c>
      <c r="H25" s="36">
        <f t="shared" si="2"/>
        <v>1</v>
      </c>
      <c r="I25" s="11">
        <f t="shared" si="3"/>
        <v>1441500000</v>
      </c>
      <c r="J25" s="53">
        <f t="shared" si="4"/>
        <v>0</v>
      </c>
      <c r="K25" s="53">
        <f t="shared" si="5"/>
        <v>1441500000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954</v>
      </c>
      <c r="H26" s="36">
        <f t="shared" si="2"/>
        <v>0</v>
      </c>
      <c r="I26" s="11">
        <f t="shared" si="3"/>
        <v>-156456000</v>
      </c>
      <c r="J26" s="53">
        <f t="shared" si="4"/>
        <v>0</v>
      </c>
      <c r="K26" s="53">
        <f t="shared" si="5"/>
        <v>-156456000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953</v>
      </c>
      <c r="H27" s="36">
        <f t="shared" si="2"/>
        <v>1</v>
      </c>
      <c r="I27" s="11">
        <f t="shared" si="3"/>
        <v>189822136</v>
      </c>
      <c r="J27" s="53">
        <f t="shared" si="4"/>
        <v>102257176</v>
      </c>
      <c r="K27" s="53">
        <f t="shared" si="5"/>
        <v>87564960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951</v>
      </c>
      <c r="H28" s="36">
        <f t="shared" si="2"/>
        <v>0</v>
      </c>
      <c r="I28" s="11">
        <f t="shared" si="3"/>
        <v>-210171000</v>
      </c>
      <c r="J28" s="53">
        <f t="shared" si="4"/>
        <v>-210171000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951</v>
      </c>
      <c r="H29" s="36">
        <f t="shared" si="2"/>
        <v>0</v>
      </c>
      <c r="I29" s="11">
        <f t="shared" si="3"/>
        <v>-475975500</v>
      </c>
      <c r="J29" s="53">
        <f t="shared" si="4"/>
        <v>0</v>
      </c>
      <c r="K29" s="53">
        <f t="shared" si="5"/>
        <v>-475975500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951</v>
      </c>
      <c r="H30" s="36">
        <f t="shared" si="2"/>
        <v>0</v>
      </c>
      <c r="I30" s="11">
        <f t="shared" si="3"/>
        <v>-14265000000</v>
      </c>
      <c r="J30" s="53">
        <f t="shared" si="4"/>
        <v>-14265000000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934</v>
      </c>
      <c r="H31" s="36">
        <f t="shared" si="2"/>
        <v>0</v>
      </c>
      <c r="I31" s="11">
        <f t="shared" si="3"/>
        <v>-2812180600</v>
      </c>
      <c r="J31" s="53">
        <f t="shared" si="4"/>
        <v>0</v>
      </c>
      <c r="K31" s="53">
        <f t="shared" si="5"/>
        <v>-2812180600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932</v>
      </c>
      <c r="H32" s="36">
        <f t="shared" si="2"/>
        <v>0</v>
      </c>
      <c r="I32" s="11">
        <f t="shared" si="3"/>
        <v>-2801498800</v>
      </c>
      <c r="J32" s="53">
        <f t="shared" si="4"/>
        <v>0</v>
      </c>
      <c r="K32" s="53">
        <f t="shared" si="5"/>
        <v>-2801498800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931</v>
      </c>
      <c r="H33" s="36">
        <f t="shared" si="2"/>
        <v>0</v>
      </c>
      <c r="I33" s="11">
        <f t="shared" si="3"/>
        <v>-833710500</v>
      </c>
      <c r="J33" s="53">
        <f t="shared" si="4"/>
        <v>0</v>
      </c>
      <c r="K33" s="53">
        <f t="shared" si="5"/>
        <v>-833710500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931</v>
      </c>
      <c r="H34" s="36">
        <f t="shared" si="2"/>
        <v>0</v>
      </c>
      <c r="I34" s="11">
        <f t="shared" si="3"/>
        <v>0</v>
      </c>
      <c r="J34" s="53">
        <f t="shared" si="4"/>
        <v>931000000</v>
      </c>
      <c r="K34" s="53">
        <f t="shared" si="5"/>
        <v>-931000000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922</v>
      </c>
      <c r="H35" s="36">
        <f t="shared" si="2"/>
        <v>1</v>
      </c>
      <c r="I35" s="11">
        <f t="shared" si="3"/>
        <v>48326712</v>
      </c>
      <c r="J35" s="53">
        <f t="shared" si="4"/>
        <v>-19951623</v>
      </c>
      <c r="K35" s="53">
        <f t="shared" si="5"/>
        <v>68278335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922</v>
      </c>
      <c r="H36" s="36">
        <f t="shared" si="2"/>
        <v>0</v>
      </c>
      <c r="I36" s="11">
        <f t="shared" si="3"/>
        <v>0</v>
      </c>
      <c r="J36" s="53">
        <f t="shared" si="4"/>
        <v>19973286</v>
      </c>
      <c r="K36" s="53">
        <f t="shared" si="5"/>
        <v>-19973286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912</v>
      </c>
      <c r="H37" s="36">
        <f t="shared" si="2"/>
        <v>0</v>
      </c>
      <c r="I37" s="11">
        <f t="shared" si="3"/>
        <v>-50160000</v>
      </c>
      <c r="J37" s="53">
        <f t="shared" si="4"/>
        <v>0</v>
      </c>
      <c r="K37" s="53">
        <f t="shared" si="5"/>
        <v>-50160000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911</v>
      </c>
      <c r="H38" s="36">
        <f t="shared" si="2"/>
        <v>1</v>
      </c>
      <c r="I38" s="11">
        <f t="shared" si="3"/>
        <v>2730000000</v>
      </c>
      <c r="J38" s="53">
        <f t="shared" si="4"/>
        <v>2730000000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910</v>
      </c>
      <c r="H39" s="36">
        <f t="shared" si="2"/>
        <v>1</v>
      </c>
      <c r="I39" s="11">
        <f t="shared" si="3"/>
        <v>2272500000</v>
      </c>
      <c r="J39" s="53">
        <f t="shared" si="4"/>
        <v>2272500000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910</v>
      </c>
      <c r="H40" s="36">
        <f t="shared" si="2"/>
        <v>0</v>
      </c>
      <c r="I40" s="11">
        <f t="shared" si="3"/>
        <v>-45500000</v>
      </c>
      <c r="J40" s="53">
        <f t="shared" si="4"/>
        <v>0</v>
      </c>
      <c r="K40" s="53">
        <f t="shared" si="5"/>
        <v>-45500000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910</v>
      </c>
      <c r="H41" s="36">
        <f t="shared" si="2"/>
        <v>1</v>
      </c>
      <c r="I41" s="11">
        <f t="shared" si="3"/>
        <v>2727000000</v>
      </c>
      <c r="J41" s="53">
        <f t="shared" si="4"/>
        <v>0</v>
      </c>
      <c r="K41" s="53">
        <f t="shared" si="5"/>
        <v>2727000000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907</v>
      </c>
      <c r="H42" s="36">
        <f t="shared" si="2"/>
        <v>0</v>
      </c>
      <c r="I42" s="11">
        <f t="shared" si="3"/>
        <v>-80904400</v>
      </c>
      <c r="J42" s="53">
        <f t="shared" si="4"/>
        <v>0</v>
      </c>
      <c r="K42" s="53">
        <f t="shared" si="5"/>
        <v>-80904400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903</v>
      </c>
      <c r="H43" s="36">
        <f t="shared" si="2"/>
        <v>0</v>
      </c>
      <c r="I43" s="11">
        <f t="shared" si="3"/>
        <v>-180600000</v>
      </c>
      <c r="J43" s="53">
        <f t="shared" si="4"/>
        <v>0</v>
      </c>
      <c r="K43" s="53">
        <f t="shared" si="5"/>
        <v>-180600000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901</v>
      </c>
      <c r="H44" s="36">
        <f t="shared" si="2"/>
        <v>0</v>
      </c>
      <c r="I44" s="11">
        <f t="shared" si="3"/>
        <v>-180200000</v>
      </c>
      <c r="J44" s="53">
        <f t="shared" si="4"/>
        <v>0</v>
      </c>
      <c r="K44" s="53">
        <f t="shared" si="5"/>
        <v>-180200000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901</v>
      </c>
      <c r="H45" s="36">
        <f t="shared" si="2"/>
        <v>0</v>
      </c>
      <c r="I45" s="11">
        <f t="shared" si="3"/>
        <v>-504560000</v>
      </c>
      <c r="J45" s="53">
        <f t="shared" si="4"/>
        <v>0</v>
      </c>
      <c r="K45" s="53">
        <f t="shared" si="5"/>
        <v>-504560000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897</v>
      </c>
      <c r="H46" s="36">
        <f t="shared" si="2"/>
        <v>0</v>
      </c>
      <c r="I46" s="11">
        <f t="shared" si="3"/>
        <v>-632833500</v>
      </c>
      <c r="J46" s="53">
        <f t="shared" si="4"/>
        <v>0</v>
      </c>
      <c r="K46" s="53">
        <f t="shared" si="5"/>
        <v>-632833500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891</v>
      </c>
      <c r="H47" s="36">
        <f t="shared" si="2"/>
        <v>1</v>
      </c>
      <c r="I47" s="11">
        <f t="shared" si="3"/>
        <v>36671560</v>
      </c>
      <c r="J47" s="53">
        <f t="shared" si="4"/>
        <v>5974570</v>
      </c>
      <c r="K47" s="53">
        <f t="shared" si="5"/>
        <v>30696990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891</v>
      </c>
      <c r="H48" s="36">
        <f t="shared" si="2"/>
        <v>1</v>
      </c>
      <c r="I48" s="11">
        <f t="shared" si="3"/>
        <v>1517183000</v>
      </c>
      <c r="J48" s="53">
        <f t="shared" si="4"/>
        <v>0</v>
      </c>
      <c r="K48" s="53">
        <f t="shared" si="5"/>
        <v>1517183000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882</v>
      </c>
      <c r="H49" s="36">
        <f t="shared" si="2"/>
        <v>0</v>
      </c>
      <c r="I49" s="11">
        <f t="shared" si="3"/>
        <v>-136710000</v>
      </c>
      <c r="J49" s="53">
        <f t="shared" si="4"/>
        <v>0</v>
      </c>
      <c r="K49" s="53">
        <f t="shared" si="5"/>
        <v>-136710000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882</v>
      </c>
      <c r="H50" s="36">
        <f t="shared" si="2"/>
        <v>0</v>
      </c>
      <c r="I50" s="11">
        <f t="shared" si="3"/>
        <v>-121716000</v>
      </c>
      <c r="J50" s="53">
        <f t="shared" si="4"/>
        <v>0</v>
      </c>
      <c r="K50" s="53">
        <f t="shared" si="5"/>
        <v>-121716000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882</v>
      </c>
      <c r="H51" s="36">
        <f t="shared" si="2"/>
        <v>0</v>
      </c>
      <c r="I51" s="11">
        <f t="shared" si="3"/>
        <v>-652680000</v>
      </c>
      <c r="J51" s="53">
        <f t="shared" si="4"/>
        <v>0</v>
      </c>
      <c r="K51" s="53">
        <f t="shared" si="5"/>
        <v>-652680000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882</v>
      </c>
      <c r="H52" s="36">
        <f t="shared" si="2"/>
        <v>0</v>
      </c>
      <c r="I52" s="11">
        <f t="shared" si="3"/>
        <v>-176400000</v>
      </c>
      <c r="J52" s="53">
        <f t="shared" si="4"/>
        <v>0</v>
      </c>
      <c r="K52" s="53">
        <f t="shared" si="5"/>
        <v>-176400000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881</v>
      </c>
      <c r="H53" s="36">
        <f t="shared" si="2"/>
        <v>0</v>
      </c>
      <c r="I53" s="11">
        <f t="shared" si="3"/>
        <v>-929455000</v>
      </c>
      <c r="J53" s="53">
        <f t="shared" si="4"/>
        <v>0</v>
      </c>
      <c r="K53" s="53">
        <f t="shared" si="5"/>
        <v>-929455000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881</v>
      </c>
      <c r="H54" s="36">
        <f t="shared" si="2"/>
        <v>0</v>
      </c>
      <c r="I54" s="11">
        <f t="shared" si="3"/>
        <v>-176200000</v>
      </c>
      <c r="J54" s="53">
        <f t="shared" si="4"/>
        <v>0</v>
      </c>
      <c r="K54" s="53">
        <f t="shared" si="5"/>
        <v>-176200000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881</v>
      </c>
      <c r="H55" s="36">
        <f t="shared" si="2"/>
        <v>0</v>
      </c>
      <c r="I55" s="11">
        <f t="shared" si="3"/>
        <v>-881440500</v>
      </c>
      <c r="J55" s="53">
        <f t="shared" si="4"/>
        <v>0</v>
      </c>
      <c r="K55" s="53">
        <f t="shared" si="5"/>
        <v>-881440500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881</v>
      </c>
      <c r="H56" s="36">
        <f t="shared" si="2"/>
        <v>0</v>
      </c>
      <c r="I56" s="11">
        <f t="shared" si="3"/>
        <v>-33478000</v>
      </c>
      <c r="J56" s="53">
        <f t="shared" si="4"/>
        <v>0</v>
      </c>
      <c r="K56" s="53">
        <f t="shared" si="5"/>
        <v>-33478000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881</v>
      </c>
      <c r="H57" s="36">
        <f t="shared" si="2"/>
        <v>0</v>
      </c>
      <c r="I57" s="11">
        <f t="shared" si="3"/>
        <v>-92505000</v>
      </c>
      <c r="J57" s="53">
        <f t="shared" si="4"/>
        <v>0</v>
      </c>
      <c r="K57" s="53">
        <f t="shared" si="5"/>
        <v>-92505000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881</v>
      </c>
      <c r="H58" s="36">
        <f t="shared" si="2"/>
        <v>0</v>
      </c>
      <c r="I58" s="11">
        <f t="shared" si="3"/>
        <v>-52860000</v>
      </c>
      <c r="J58" s="53">
        <f t="shared" si="4"/>
        <v>0</v>
      </c>
      <c r="K58" s="53">
        <f t="shared" si="5"/>
        <v>-52860000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878</v>
      </c>
      <c r="H59" s="36">
        <f t="shared" si="2"/>
        <v>1</v>
      </c>
      <c r="I59" s="11">
        <f t="shared" si="3"/>
        <v>877000000</v>
      </c>
      <c r="J59" s="53">
        <f t="shared" si="4"/>
        <v>877000000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877</v>
      </c>
      <c r="H60" s="36">
        <f t="shared" si="2"/>
        <v>1</v>
      </c>
      <c r="I60" s="11">
        <f t="shared" si="3"/>
        <v>3066000000</v>
      </c>
      <c r="J60" s="53">
        <f t="shared" si="4"/>
        <v>3066000000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875</v>
      </c>
      <c r="H61" s="36">
        <f t="shared" si="2"/>
        <v>1</v>
      </c>
      <c r="I61" s="11">
        <f t="shared" si="3"/>
        <v>874000000</v>
      </c>
      <c r="J61" s="53">
        <f t="shared" si="4"/>
        <v>874000000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875</v>
      </c>
      <c r="H62" s="36">
        <f t="shared" si="2"/>
        <v>1</v>
      </c>
      <c r="I62" s="11">
        <f t="shared" si="3"/>
        <v>2622000000</v>
      </c>
      <c r="J62" s="53">
        <f t="shared" si="4"/>
        <v>2622000000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873</v>
      </c>
      <c r="H63" s="36">
        <f t="shared" si="2"/>
        <v>0</v>
      </c>
      <c r="I63" s="11">
        <f t="shared" si="3"/>
        <v>-174600000</v>
      </c>
      <c r="J63" s="53">
        <f t="shared" si="4"/>
        <v>0</v>
      </c>
      <c r="K63" s="53">
        <f t="shared" si="5"/>
        <v>-174600000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868</v>
      </c>
      <c r="H64" s="36">
        <f t="shared" si="2"/>
        <v>0</v>
      </c>
      <c r="I64" s="11">
        <f t="shared" si="3"/>
        <v>-43400000</v>
      </c>
      <c r="J64" s="53">
        <f t="shared" si="4"/>
        <v>0</v>
      </c>
      <c r="K64" s="53">
        <f t="shared" si="5"/>
        <v>-43400000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864</v>
      </c>
      <c r="H65" s="36">
        <f t="shared" si="2"/>
        <v>0</v>
      </c>
      <c r="I65" s="11">
        <f t="shared" si="3"/>
        <v>-172800000</v>
      </c>
      <c r="J65" s="53">
        <f t="shared" si="4"/>
        <v>0</v>
      </c>
      <c r="K65" s="53">
        <f t="shared" si="5"/>
        <v>-172800000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861</v>
      </c>
      <c r="H66" s="36">
        <f t="shared" si="2"/>
        <v>0</v>
      </c>
      <c r="I66" s="11">
        <f t="shared" si="3"/>
        <v>-146370000</v>
      </c>
      <c r="J66" s="53">
        <f t="shared" si="4"/>
        <v>0</v>
      </c>
      <c r="K66" s="53">
        <f t="shared" si="5"/>
        <v>-146370000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860</v>
      </c>
      <c r="H67" s="36">
        <f t="shared" ref="H67:H131" si="8">IF(B67&gt;0,1,0)</f>
        <v>1</v>
      </c>
      <c r="I67" s="11">
        <f t="shared" ref="I67:I119" si="9">B67*(G67-H67)</f>
        <v>78448175</v>
      </c>
      <c r="J67" s="53">
        <f t="shared" ref="J67:J131" si="10">C67*(G67-H67)</f>
        <v>56456057</v>
      </c>
      <c r="K67" s="53">
        <f t="shared" ref="K67:K131" si="11">D67*(G67-H67)</f>
        <v>21992118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842</v>
      </c>
      <c r="H68" s="36">
        <f t="shared" si="8"/>
        <v>0</v>
      </c>
      <c r="I68" s="11">
        <f t="shared" si="9"/>
        <v>-122090000</v>
      </c>
      <c r="J68" s="53">
        <f t="shared" si="10"/>
        <v>0</v>
      </c>
      <c r="K68" s="53">
        <f t="shared" si="11"/>
        <v>-122090000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835</v>
      </c>
      <c r="H69" s="36">
        <f t="shared" si="8"/>
        <v>1</v>
      </c>
      <c r="I69" s="11">
        <f t="shared" si="9"/>
        <v>817320000</v>
      </c>
      <c r="J69" s="53">
        <f t="shared" si="10"/>
        <v>0</v>
      </c>
      <c r="K69" s="53">
        <f t="shared" si="11"/>
        <v>817320000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832</v>
      </c>
      <c r="H70" s="36">
        <f t="shared" si="8"/>
        <v>0</v>
      </c>
      <c r="I70" s="11">
        <f t="shared" si="9"/>
        <v>-38272000</v>
      </c>
      <c r="J70" s="53">
        <f t="shared" si="10"/>
        <v>0</v>
      </c>
      <c r="K70" s="53">
        <f t="shared" si="11"/>
        <v>-38272000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830</v>
      </c>
      <c r="H71" s="36">
        <f t="shared" si="8"/>
        <v>1</v>
      </c>
      <c r="I71" s="11">
        <f t="shared" si="9"/>
        <v>95615202</v>
      </c>
      <c r="J71" s="53">
        <f t="shared" si="10"/>
        <v>86060148</v>
      </c>
      <c r="K71" s="53">
        <f t="shared" si="11"/>
        <v>9555054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829</v>
      </c>
      <c r="H72" s="36">
        <f t="shared" si="8"/>
        <v>0</v>
      </c>
      <c r="I72" s="11">
        <f t="shared" si="9"/>
        <v>-125982301</v>
      </c>
      <c r="J72" s="53">
        <f t="shared" si="10"/>
        <v>0</v>
      </c>
      <c r="K72" s="53">
        <f t="shared" si="11"/>
        <v>-125982301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828</v>
      </c>
      <c r="H73" s="36">
        <f t="shared" si="8"/>
        <v>0</v>
      </c>
      <c r="I73" s="11">
        <f t="shared" si="9"/>
        <v>-666954000</v>
      </c>
      <c r="J73" s="53">
        <f t="shared" si="10"/>
        <v>0</v>
      </c>
      <c r="K73" s="53">
        <f t="shared" si="11"/>
        <v>-666954000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821</v>
      </c>
      <c r="H74" s="36">
        <f t="shared" si="8"/>
        <v>1</v>
      </c>
      <c r="I74" s="11">
        <f t="shared" si="9"/>
        <v>5735900000</v>
      </c>
      <c r="J74" s="53">
        <f t="shared" si="10"/>
        <v>0</v>
      </c>
      <c r="K74" s="53">
        <f t="shared" si="11"/>
        <v>5735900000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820</v>
      </c>
      <c r="H75" s="36">
        <f t="shared" si="8"/>
        <v>1</v>
      </c>
      <c r="I75" s="11">
        <f t="shared" si="9"/>
        <v>2457000000</v>
      </c>
      <c r="J75" s="53">
        <f t="shared" si="10"/>
        <v>0</v>
      </c>
      <c r="K75" s="53">
        <f t="shared" si="11"/>
        <v>2457000000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818</v>
      </c>
      <c r="H76" s="36">
        <f t="shared" si="8"/>
        <v>1</v>
      </c>
      <c r="I76" s="11">
        <f t="shared" si="9"/>
        <v>2451000000</v>
      </c>
      <c r="J76" s="53">
        <f t="shared" si="10"/>
        <v>0</v>
      </c>
      <c r="K76" s="53">
        <f t="shared" si="11"/>
        <v>2451000000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817</v>
      </c>
      <c r="H77" s="36">
        <f t="shared" si="8"/>
        <v>1</v>
      </c>
      <c r="I77" s="11">
        <f t="shared" si="9"/>
        <v>2448000000</v>
      </c>
      <c r="J77" s="53">
        <f t="shared" si="10"/>
        <v>0</v>
      </c>
      <c r="K77" s="53">
        <f t="shared" si="11"/>
        <v>2448000000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816</v>
      </c>
      <c r="H78" s="36">
        <f t="shared" si="8"/>
        <v>0</v>
      </c>
      <c r="I78" s="11">
        <f t="shared" si="9"/>
        <v>-2611200000</v>
      </c>
      <c r="J78" s="53">
        <f t="shared" si="10"/>
        <v>-2611200000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815</v>
      </c>
      <c r="H79" s="36">
        <f t="shared" si="8"/>
        <v>0</v>
      </c>
      <c r="I79" s="11">
        <f t="shared" si="9"/>
        <v>-652000000</v>
      </c>
      <c r="J79" s="53">
        <f t="shared" si="10"/>
        <v>-652000000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814</v>
      </c>
      <c r="H80" s="36">
        <f t="shared" si="8"/>
        <v>0</v>
      </c>
      <c r="I80" s="11">
        <f t="shared" si="9"/>
        <v>-39391902</v>
      </c>
      <c r="J80" s="53">
        <f t="shared" si="10"/>
        <v>0</v>
      </c>
      <c r="K80" s="53">
        <f t="shared" si="11"/>
        <v>-39391902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813</v>
      </c>
      <c r="H81" s="36">
        <f t="shared" si="8"/>
        <v>0</v>
      </c>
      <c r="I81" s="11">
        <f t="shared" si="9"/>
        <v>-113820000</v>
      </c>
      <c r="J81" s="53">
        <f t="shared" si="10"/>
        <v>0</v>
      </c>
      <c r="K81" s="53">
        <f t="shared" si="11"/>
        <v>-113820000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812</v>
      </c>
      <c r="H82" s="36">
        <f t="shared" si="8"/>
        <v>0</v>
      </c>
      <c r="I82" s="11">
        <f t="shared" si="9"/>
        <v>-203000000</v>
      </c>
      <c r="J82" s="53">
        <f t="shared" si="10"/>
        <v>0</v>
      </c>
      <c r="K82" s="53">
        <f t="shared" si="11"/>
        <v>-203000000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811</v>
      </c>
      <c r="H83" s="36">
        <f t="shared" si="8"/>
        <v>0</v>
      </c>
      <c r="I83" s="11">
        <f t="shared" si="9"/>
        <v>-162200000</v>
      </c>
      <c r="J83" s="53">
        <f t="shared" si="10"/>
        <v>0</v>
      </c>
      <c r="K83" s="53">
        <f t="shared" si="11"/>
        <v>-162200000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808</v>
      </c>
      <c r="H84" s="36">
        <f t="shared" si="8"/>
        <v>1</v>
      </c>
      <c r="I84" s="11">
        <f t="shared" si="9"/>
        <v>1319606400</v>
      </c>
      <c r="J84" s="53">
        <f t="shared" si="10"/>
        <v>0</v>
      </c>
      <c r="K84" s="53">
        <f t="shared" si="11"/>
        <v>1319606400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804</v>
      </c>
      <c r="H85" s="36">
        <f t="shared" si="8"/>
        <v>1</v>
      </c>
      <c r="I85" s="11">
        <f t="shared" si="9"/>
        <v>2007500000</v>
      </c>
      <c r="J85" s="53">
        <f t="shared" si="10"/>
        <v>0</v>
      </c>
      <c r="K85" s="53">
        <f t="shared" si="11"/>
        <v>2007500000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800</v>
      </c>
      <c r="H86" s="36">
        <f t="shared" si="8"/>
        <v>1</v>
      </c>
      <c r="I86" s="11">
        <f t="shared" si="9"/>
        <v>148853700</v>
      </c>
      <c r="J86" s="53">
        <f t="shared" si="10"/>
        <v>67875050</v>
      </c>
      <c r="K86" s="53">
        <f t="shared" si="11"/>
        <v>80978650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797</v>
      </c>
      <c r="H87" s="36">
        <f t="shared" si="8"/>
        <v>0</v>
      </c>
      <c r="I87" s="11">
        <f t="shared" si="9"/>
        <v>-159400000</v>
      </c>
      <c r="J87" s="53">
        <f t="shared" si="10"/>
        <v>0</v>
      </c>
      <c r="K87" s="53">
        <f t="shared" si="11"/>
        <v>-159400000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796</v>
      </c>
      <c r="H88" s="36">
        <f t="shared" si="8"/>
        <v>0</v>
      </c>
      <c r="I88" s="11">
        <f t="shared" si="9"/>
        <v>-93928000</v>
      </c>
      <c r="J88" s="53">
        <f t="shared" si="10"/>
        <v>-54924000</v>
      </c>
      <c r="K88" s="53">
        <f t="shared" si="11"/>
        <v>-39004000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788</v>
      </c>
      <c r="H89" s="36">
        <f t="shared" si="8"/>
        <v>0</v>
      </c>
      <c r="I89" s="11">
        <f t="shared" si="9"/>
        <v>-2522309200</v>
      </c>
      <c r="J89" s="53">
        <f t="shared" si="10"/>
        <v>0</v>
      </c>
      <c r="K89" s="53">
        <f t="shared" si="11"/>
        <v>-2522309200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787</v>
      </c>
      <c r="H90" s="36">
        <f t="shared" si="8"/>
        <v>0</v>
      </c>
      <c r="I90" s="11">
        <f t="shared" si="9"/>
        <v>-2519108300</v>
      </c>
      <c r="J90" s="53">
        <f t="shared" si="10"/>
        <v>0</v>
      </c>
      <c r="K90" s="53">
        <f t="shared" si="11"/>
        <v>-2519108300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786</v>
      </c>
      <c r="H91" s="36">
        <f t="shared" si="8"/>
        <v>0</v>
      </c>
      <c r="I91" s="11">
        <f t="shared" si="9"/>
        <v>-2515907400</v>
      </c>
      <c r="J91" s="53">
        <f t="shared" si="10"/>
        <v>0</v>
      </c>
      <c r="K91" s="53">
        <f t="shared" si="11"/>
        <v>-2515907400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785</v>
      </c>
      <c r="H92" s="36">
        <f t="shared" si="8"/>
        <v>0</v>
      </c>
      <c r="I92" s="11">
        <f t="shared" si="9"/>
        <v>-2512706500</v>
      </c>
      <c r="J92" s="53">
        <f t="shared" si="10"/>
        <v>0</v>
      </c>
      <c r="K92" s="53">
        <f t="shared" si="11"/>
        <v>-2512706500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784</v>
      </c>
      <c r="H93" s="36">
        <f t="shared" si="8"/>
        <v>0</v>
      </c>
      <c r="I93" s="11">
        <f t="shared" si="9"/>
        <v>-2509505600</v>
      </c>
      <c r="J93" s="53">
        <f t="shared" si="10"/>
        <v>0</v>
      </c>
      <c r="K93" s="53">
        <f t="shared" si="11"/>
        <v>-2509505600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783</v>
      </c>
      <c r="H94" s="36">
        <f t="shared" si="8"/>
        <v>0</v>
      </c>
      <c r="I94" s="11">
        <f t="shared" si="9"/>
        <v>-2506304700</v>
      </c>
      <c r="J94" s="53">
        <f t="shared" si="10"/>
        <v>0</v>
      </c>
      <c r="K94" s="53">
        <f t="shared" si="11"/>
        <v>-2506304700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781</v>
      </c>
      <c r="H95" s="36">
        <f t="shared" si="8"/>
        <v>0</v>
      </c>
      <c r="I95" s="11">
        <f t="shared" si="9"/>
        <v>-934541476</v>
      </c>
      <c r="J95" s="53">
        <f t="shared" si="10"/>
        <v>0</v>
      </c>
      <c r="K95" s="53">
        <f t="shared" si="11"/>
        <v>-934541476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771</v>
      </c>
      <c r="H96" s="36">
        <f t="shared" si="8"/>
        <v>0</v>
      </c>
      <c r="I96" s="11">
        <f t="shared" si="9"/>
        <v>-154200000</v>
      </c>
      <c r="J96" s="53">
        <f t="shared" si="10"/>
        <v>0</v>
      </c>
      <c r="K96" s="53">
        <f t="shared" si="11"/>
        <v>-154200000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770</v>
      </c>
      <c r="H97" s="36">
        <f t="shared" si="8"/>
        <v>1</v>
      </c>
      <c r="I97" s="11">
        <f t="shared" si="9"/>
        <v>122700102</v>
      </c>
      <c r="J97" s="53">
        <f t="shared" si="10"/>
        <v>53004094</v>
      </c>
      <c r="K97" s="53">
        <f t="shared" si="11"/>
        <v>69696008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765</v>
      </c>
      <c r="H98" s="36">
        <f t="shared" si="8"/>
        <v>1</v>
      </c>
      <c r="I98" s="11">
        <f t="shared" si="9"/>
        <v>87377152</v>
      </c>
      <c r="J98" s="53">
        <f t="shared" si="10"/>
        <v>0</v>
      </c>
      <c r="K98" s="53">
        <f t="shared" si="11"/>
        <v>87377152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762</v>
      </c>
      <c r="H99" s="36">
        <f t="shared" si="8"/>
        <v>0</v>
      </c>
      <c r="I99" s="11">
        <f t="shared" si="9"/>
        <v>-1009650000</v>
      </c>
      <c r="J99" s="53">
        <f t="shared" si="10"/>
        <v>0</v>
      </c>
      <c r="K99" s="53">
        <f t="shared" si="11"/>
        <v>-1009650000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757</v>
      </c>
      <c r="H100" s="36">
        <f t="shared" si="8"/>
        <v>1</v>
      </c>
      <c r="I100" s="11">
        <f t="shared" si="9"/>
        <v>1001700000</v>
      </c>
      <c r="J100" s="53">
        <f t="shared" si="10"/>
        <v>0</v>
      </c>
      <c r="K100" s="53">
        <f t="shared" si="11"/>
        <v>1001700000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740</v>
      </c>
      <c r="H101" s="36">
        <f t="shared" si="8"/>
        <v>1</v>
      </c>
      <c r="I101" s="11">
        <f t="shared" si="9"/>
        <v>49398455</v>
      </c>
      <c r="J101" s="53">
        <f t="shared" si="10"/>
        <v>49398455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737</v>
      </c>
      <c r="H102" s="36">
        <f t="shared" si="8"/>
        <v>1</v>
      </c>
      <c r="I102" s="11">
        <f t="shared" si="9"/>
        <v>2208000000</v>
      </c>
      <c r="J102" s="53">
        <f t="shared" si="10"/>
        <v>0</v>
      </c>
      <c r="K102" s="53">
        <f t="shared" si="11"/>
        <v>2208000000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730</v>
      </c>
      <c r="H103" s="36">
        <f t="shared" si="8"/>
        <v>0</v>
      </c>
      <c r="I103" s="11">
        <f t="shared" si="9"/>
        <v>-730000000</v>
      </c>
      <c r="J103" s="53">
        <f t="shared" si="10"/>
        <v>-730000000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720</v>
      </c>
      <c r="H104" s="36">
        <f t="shared" si="8"/>
        <v>1</v>
      </c>
      <c r="I104" s="11">
        <f t="shared" si="9"/>
        <v>2157000000</v>
      </c>
      <c r="J104" s="53">
        <f t="shared" si="10"/>
        <v>2157000000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719</v>
      </c>
      <c r="H105" s="36">
        <f t="shared" si="8"/>
        <v>1</v>
      </c>
      <c r="I105" s="11">
        <f t="shared" si="9"/>
        <v>804160000</v>
      </c>
      <c r="J105" s="53">
        <f t="shared" si="10"/>
        <v>804160000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719</v>
      </c>
      <c r="H106" s="36">
        <f t="shared" si="8"/>
        <v>0</v>
      </c>
      <c r="I106" s="11">
        <f t="shared" si="9"/>
        <v>-2157000000</v>
      </c>
      <c r="J106" s="53">
        <f t="shared" si="10"/>
        <v>0</v>
      </c>
      <c r="K106" s="53">
        <f t="shared" si="11"/>
        <v>-2157000000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710</v>
      </c>
      <c r="H107" s="36">
        <f t="shared" si="8"/>
        <v>1</v>
      </c>
      <c r="I107" s="11">
        <f t="shared" si="9"/>
        <v>64160246</v>
      </c>
      <c r="J107" s="53">
        <f t="shared" si="10"/>
        <v>53256535</v>
      </c>
      <c r="K107" s="53">
        <f t="shared" si="11"/>
        <v>10903711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708</v>
      </c>
      <c r="H108" s="36">
        <f t="shared" si="8"/>
        <v>0</v>
      </c>
      <c r="I108" s="11">
        <f t="shared" si="9"/>
        <v>-1204095600</v>
      </c>
      <c r="J108" s="53">
        <f t="shared" si="10"/>
        <v>0</v>
      </c>
      <c r="K108" s="53">
        <f t="shared" si="11"/>
        <v>-1204095600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704</v>
      </c>
      <c r="H109" s="36">
        <f t="shared" si="8"/>
        <v>0</v>
      </c>
      <c r="I109" s="11">
        <f t="shared" si="9"/>
        <v>-704352000</v>
      </c>
      <c r="J109" s="53">
        <f t="shared" si="10"/>
        <v>0</v>
      </c>
      <c r="K109" s="53">
        <f t="shared" si="11"/>
        <v>-704352000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701</v>
      </c>
      <c r="H110" s="36">
        <f t="shared" si="8"/>
        <v>1</v>
      </c>
      <c r="I110" s="11">
        <f t="shared" si="9"/>
        <v>14000000000</v>
      </c>
      <c r="J110" s="53">
        <f t="shared" si="10"/>
        <v>0</v>
      </c>
      <c r="K110" s="53">
        <f t="shared" si="11"/>
        <v>14000000000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681</v>
      </c>
      <c r="H111" s="36">
        <f t="shared" si="8"/>
        <v>1</v>
      </c>
      <c r="I111" s="11">
        <f t="shared" si="9"/>
        <v>118781040</v>
      </c>
      <c r="J111" s="53">
        <f t="shared" si="10"/>
        <v>59406840</v>
      </c>
      <c r="K111" s="53">
        <f t="shared" si="11"/>
        <v>59374200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665</v>
      </c>
      <c r="H112" s="36">
        <f t="shared" si="8"/>
        <v>0</v>
      </c>
      <c r="I112" s="11">
        <f t="shared" si="9"/>
        <v>-18886000000</v>
      </c>
      <c r="J112" s="53">
        <f t="shared" si="10"/>
        <v>0</v>
      </c>
      <c r="K112" s="53">
        <f t="shared" si="11"/>
        <v>-18886000000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650</v>
      </c>
      <c r="H113" s="36">
        <f t="shared" si="8"/>
        <v>1</v>
      </c>
      <c r="I113" s="11">
        <f t="shared" si="9"/>
        <v>105812960</v>
      </c>
      <c r="J113" s="53">
        <f t="shared" si="10"/>
        <v>79509639</v>
      </c>
      <c r="K113" s="53">
        <f t="shared" si="11"/>
        <v>26303321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650</v>
      </c>
      <c r="H114" s="36">
        <f t="shared" si="8"/>
        <v>0</v>
      </c>
      <c r="I114" s="11">
        <f t="shared" si="9"/>
        <v>-3705000</v>
      </c>
      <c r="J114" s="53">
        <f t="shared" si="10"/>
        <v>-1625000</v>
      </c>
      <c r="K114" s="53">
        <f t="shared" si="11"/>
        <v>-2080000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637</v>
      </c>
      <c r="H115" s="36">
        <f t="shared" si="8"/>
        <v>0</v>
      </c>
      <c r="I115" s="11">
        <f t="shared" si="9"/>
        <v>0</v>
      </c>
      <c r="J115" s="53">
        <f t="shared" si="10"/>
        <v>318500000</v>
      </c>
      <c r="K115" s="53">
        <f t="shared" si="11"/>
        <v>-318500000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629</v>
      </c>
      <c r="H116" s="36">
        <f t="shared" si="8"/>
        <v>0</v>
      </c>
      <c r="I116" s="11">
        <f t="shared" si="9"/>
        <v>-100640000</v>
      </c>
      <c r="J116" s="53">
        <f t="shared" si="10"/>
        <v>0</v>
      </c>
      <c r="K116" s="53">
        <f t="shared" si="11"/>
        <v>-100640000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620</v>
      </c>
      <c r="H117" s="36">
        <f t="shared" si="8"/>
        <v>1</v>
      </c>
      <c r="I117" s="11">
        <f t="shared" si="9"/>
        <v>916120</v>
      </c>
      <c r="J117" s="53">
        <f t="shared" si="10"/>
        <v>66196479</v>
      </c>
      <c r="K117" s="53">
        <f t="shared" si="11"/>
        <v>-65280359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598</v>
      </c>
      <c r="H118" s="36">
        <f t="shared" si="8"/>
        <v>1</v>
      </c>
      <c r="I118" s="11">
        <f t="shared" si="9"/>
        <v>23521501500</v>
      </c>
      <c r="J118" s="53">
        <f t="shared" si="10"/>
        <v>0</v>
      </c>
      <c r="K118" s="53">
        <f t="shared" si="11"/>
        <v>23521501500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589</v>
      </c>
      <c r="H119" s="36">
        <f t="shared" si="8"/>
        <v>1</v>
      </c>
      <c r="I119" s="11">
        <f t="shared" si="9"/>
        <v>56166348</v>
      </c>
      <c r="J119" s="53">
        <f t="shared" si="10"/>
        <v>64711752</v>
      </c>
      <c r="K119" s="53">
        <f t="shared" si="11"/>
        <v>-8545404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585</v>
      </c>
      <c r="H120" s="11">
        <f t="shared" si="8"/>
        <v>1</v>
      </c>
      <c r="I120" s="11">
        <f t="shared" ref="I120:I313" si="13">B120*(G120-H120)</f>
        <v>1168000000</v>
      </c>
      <c r="J120" s="11">
        <f t="shared" si="10"/>
        <v>0</v>
      </c>
      <c r="K120" s="11">
        <f t="shared" si="11"/>
        <v>1168000000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559</v>
      </c>
      <c r="H121" s="11">
        <f t="shared" si="8"/>
        <v>1</v>
      </c>
      <c r="I121" s="11">
        <f t="shared" si="13"/>
        <v>1450800000</v>
      </c>
      <c r="J121" s="11">
        <f t="shared" si="10"/>
        <v>0</v>
      </c>
      <c r="K121" s="11">
        <f t="shared" si="11"/>
        <v>1450800000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558</v>
      </c>
      <c r="H122" s="11">
        <f t="shared" si="8"/>
        <v>1</v>
      </c>
      <c r="I122" s="11">
        <f t="shared" si="13"/>
        <v>214194907</v>
      </c>
      <c r="J122" s="11">
        <f t="shared" si="10"/>
        <v>61775756</v>
      </c>
      <c r="K122" s="11">
        <f t="shared" si="11"/>
        <v>152419151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557</v>
      </c>
      <c r="H123" s="11">
        <f t="shared" si="8"/>
        <v>0</v>
      </c>
      <c r="I123" s="11">
        <f t="shared" si="13"/>
        <v>0</v>
      </c>
      <c r="J123" s="11">
        <f t="shared" si="10"/>
        <v>445600000</v>
      </c>
      <c r="K123" s="11">
        <f t="shared" si="11"/>
        <v>-445600000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543</v>
      </c>
      <c r="H124" s="11">
        <f t="shared" si="8"/>
        <v>0</v>
      </c>
      <c r="I124" s="11">
        <f t="shared" si="13"/>
        <v>-1629000000</v>
      </c>
      <c r="J124" s="11">
        <f t="shared" si="10"/>
        <v>0</v>
      </c>
      <c r="K124" s="11">
        <f t="shared" si="11"/>
        <v>-1629000000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528</v>
      </c>
      <c r="H125" s="11">
        <f t="shared" si="8"/>
        <v>1</v>
      </c>
      <c r="I125" s="11">
        <f t="shared" si="13"/>
        <v>211174170</v>
      </c>
      <c r="J125" s="11">
        <f t="shared" si="10"/>
        <v>62647125</v>
      </c>
      <c r="K125" s="11">
        <f t="shared" si="11"/>
        <v>148527045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528</v>
      </c>
      <c r="H126" s="11">
        <f t="shared" si="8"/>
        <v>1</v>
      </c>
      <c r="I126" s="11">
        <f t="shared" si="13"/>
        <v>22134000000</v>
      </c>
      <c r="J126" s="11">
        <f t="shared" si="10"/>
        <v>0</v>
      </c>
      <c r="K126" s="11">
        <f t="shared" si="11"/>
        <v>22134000000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503</v>
      </c>
      <c r="H127" s="11">
        <f t="shared" si="8"/>
        <v>0</v>
      </c>
      <c r="I127" s="11">
        <f t="shared" si="13"/>
        <v>-2515000</v>
      </c>
      <c r="J127" s="11">
        <f t="shared" si="10"/>
        <v>0</v>
      </c>
      <c r="K127" s="11">
        <f t="shared" si="11"/>
        <v>-2515000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497</v>
      </c>
      <c r="H128" s="11">
        <f t="shared" si="8"/>
        <v>1</v>
      </c>
      <c r="I128" s="11">
        <f t="shared" si="13"/>
        <v>382601504</v>
      </c>
      <c r="J128" s="11">
        <f t="shared" si="10"/>
        <v>59865712</v>
      </c>
      <c r="K128" s="11">
        <f t="shared" si="11"/>
        <v>322735792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494</v>
      </c>
      <c r="H129" s="11">
        <f t="shared" si="8"/>
        <v>1</v>
      </c>
      <c r="I129" s="11">
        <f t="shared" si="13"/>
        <v>1232500000</v>
      </c>
      <c r="J129" s="11">
        <f t="shared" si="10"/>
        <v>0</v>
      </c>
      <c r="K129" s="11">
        <f t="shared" si="11"/>
        <v>1232500000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480</v>
      </c>
      <c r="H130" s="11">
        <f t="shared" si="8"/>
        <v>0</v>
      </c>
      <c r="I130" s="11">
        <f t="shared" si="13"/>
        <v>-480000000</v>
      </c>
      <c r="J130" s="11">
        <f t="shared" si="10"/>
        <v>-480000000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475</v>
      </c>
      <c r="H131" s="11">
        <f t="shared" si="8"/>
        <v>0</v>
      </c>
      <c r="I131" s="11">
        <f t="shared" si="13"/>
        <v>-23750000000</v>
      </c>
      <c r="J131" s="11">
        <f t="shared" si="10"/>
        <v>0</v>
      </c>
      <c r="K131" s="11">
        <f t="shared" si="11"/>
        <v>-23750000000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467</v>
      </c>
      <c r="H132" s="11">
        <f t="shared" ref="H132:H313" si="15">IF(B132&gt;0,1,0)</f>
        <v>1</v>
      </c>
      <c r="I132" s="11">
        <f t="shared" si="13"/>
        <v>286257742</v>
      </c>
      <c r="J132" s="11">
        <f t="shared" ref="J132:J206" si="16">C132*(G132-H132)</f>
        <v>49382486</v>
      </c>
      <c r="K132" s="11">
        <f t="shared" ref="K132:K313" si="17">D132*(G132-H132)</f>
        <v>236875256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463</v>
      </c>
      <c r="H133" s="11">
        <f t="shared" si="15"/>
        <v>0</v>
      </c>
      <c r="I133" s="11">
        <f t="shared" si="13"/>
        <v>-560554100</v>
      </c>
      <c r="J133" s="11">
        <f t="shared" si="16"/>
        <v>0</v>
      </c>
      <c r="K133" s="11">
        <f t="shared" si="17"/>
        <v>-560554100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454</v>
      </c>
      <c r="H134" s="11">
        <f t="shared" si="15"/>
        <v>0</v>
      </c>
      <c r="I134" s="11">
        <f t="shared" si="13"/>
        <v>-29510000</v>
      </c>
      <c r="J134" s="11">
        <f t="shared" si="16"/>
        <v>0</v>
      </c>
      <c r="K134" s="11">
        <f t="shared" si="17"/>
        <v>-29510000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454</v>
      </c>
      <c r="H135" s="11">
        <f t="shared" si="15"/>
        <v>0</v>
      </c>
      <c r="I135" s="11">
        <f t="shared" si="13"/>
        <v>-14664200</v>
      </c>
      <c r="J135" s="11">
        <f t="shared" si="16"/>
        <v>0</v>
      </c>
      <c r="K135" s="11">
        <f t="shared" si="17"/>
        <v>-14664200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446</v>
      </c>
      <c r="H136" s="11">
        <f t="shared" si="15"/>
        <v>0</v>
      </c>
      <c r="I136" s="11">
        <f t="shared" si="13"/>
        <v>-446000000</v>
      </c>
      <c r="J136" s="11">
        <f t="shared" si="16"/>
        <v>-446000000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437</v>
      </c>
      <c r="H137" s="11">
        <f t="shared" si="15"/>
        <v>1</v>
      </c>
      <c r="I137" s="11">
        <f t="shared" si="13"/>
        <v>126820628</v>
      </c>
      <c r="J137" s="11">
        <f t="shared" si="16"/>
        <v>42448524</v>
      </c>
      <c r="K137" s="11">
        <f t="shared" si="17"/>
        <v>84372104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420</v>
      </c>
      <c r="H138" s="11">
        <f t="shared" si="15"/>
        <v>0</v>
      </c>
      <c r="I138" s="11">
        <f t="shared" si="13"/>
        <v>-420210000</v>
      </c>
      <c r="J138" s="11">
        <f t="shared" si="16"/>
        <v>-420210000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408</v>
      </c>
      <c r="H139" s="11">
        <f t="shared" si="15"/>
        <v>1</v>
      </c>
      <c r="I139" s="11">
        <f t="shared" si="13"/>
        <v>114871680</v>
      </c>
      <c r="J139" s="11">
        <f t="shared" si="16"/>
        <v>36144449</v>
      </c>
      <c r="K139" s="11">
        <f t="shared" si="17"/>
        <v>78727231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405</v>
      </c>
      <c r="H140" s="11">
        <f t="shared" si="15"/>
        <v>1</v>
      </c>
      <c r="I140" s="11">
        <f t="shared" si="13"/>
        <v>606000000</v>
      </c>
      <c r="J140" s="11">
        <f t="shared" si="16"/>
        <v>0</v>
      </c>
      <c r="K140" s="11">
        <f t="shared" si="17"/>
        <v>606000000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392</v>
      </c>
      <c r="H141" s="11">
        <f t="shared" si="15"/>
        <v>0</v>
      </c>
      <c r="I141" s="11">
        <f t="shared" si="13"/>
        <v>0</v>
      </c>
      <c r="J141" s="11">
        <f t="shared" si="16"/>
        <v>-392000000</v>
      </c>
      <c r="K141" s="11">
        <f t="shared" si="17"/>
        <v>392000000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378</v>
      </c>
      <c r="H142" s="11">
        <f t="shared" si="15"/>
        <v>1</v>
      </c>
      <c r="I142" s="11">
        <f t="shared" si="13"/>
        <v>109666661</v>
      </c>
      <c r="J142" s="11">
        <f t="shared" si="16"/>
        <v>30545294</v>
      </c>
      <c r="K142" s="11">
        <f t="shared" si="17"/>
        <v>79121367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358</v>
      </c>
      <c r="H143" s="11">
        <f t="shared" si="15"/>
        <v>0</v>
      </c>
      <c r="I143" s="11">
        <f t="shared" si="13"/>
        <v>0</v>
      </c>
      <c r="J143" s="11">
        <f t="shared" si="16"/>
        <v>-358000000</v>
      </c>
      <c r="K143" s="11">
        <f t="shared" si="17"/>
        <v>358000000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348</v>
      </c>
      <c r="H144" s="11">
        <f t="shared" si="15"/>
        <v>1</v>
      </c>
      <c r="I144" s="11">
        <f t="shared" si="13"/>
        <v>102313644</v>
      </c>
      <c r="J144" s="11">
        <f t="shared" si="16"/>
        <v>25905979</v>
      </c>
      <c r="K144" s="11">
        <f t="shared" si="17"/>
        <v>76407665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333</v>
      </c>
      <c r="H145" s="11">
        <f t="shared" si="15"/>
        <v>0</v>
      </c>
      <c r="I145" s="11">
        <f t="shared" si="13"/>
        <v>-3330000</v>
      </c>
      <c r="J145" s="11">
        <f t="shared" si="16"/>
        <v>-1665000</v>
      </c>
      <c r="K145" s="11">
        <f t="shared" si="17"/>
        <v>-1665000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328</v>
      </c>
      <c r="H146" s="11">
        <f t="shared" si="15"/>
        <v>0</v>
      </c>
      <c r="I146" s="11">
        <f t="shared" si="13"/>
        <v>-328164000</v>
      </c>
      <c r="J146" s="11">
        <f t="shared" si="16"/>
        <v>-328164000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322</v>
      </c>
      <c r="H147" s="11">
        <f t="shared" si="15"/>
        <v>0</v>
      </c>
      <c r="I147" s="11">
        <f t="shared" si="13"/>
        <v>-8694000000</v>
      </c>
      <c r="J147" s="11">
        <f t="shared" si="16"/>
        <v>0</v>
      </c>
      <c r="K147" s="11">
        <f t="shared" si="17"/>
        <v>-8694000000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319</v>
      </c>
      <c r="H148" s="11">
        <f t="shared" si="15"/>
        <v>1</v>
      </c>
      <c r="I148" s="11">
        <f t="shared" si="13"/>
        <v>80274648</v>
      </c>
      <c r="J148" s="11">
        <f t="shared" si="16"/>
        <v>20832180</v>
      </c>
      <c r="K148" s="11">
        <f t="shared" si="17"/>
        <v>59442468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311</v>
      </c>
      <c r="H149" s="11">
        <f t="shared" si="15"/>
        <v>1</v>
      </c>
      <c r="I149" s="11">
        <f t="shared" si="13"/>
        <v>16244000000</v>
      </c>
      <c r="J149" s="11">
        <f t="shared" si="16"/>
        <v>0</v>
      </c>
      <c r="K149" s="11">
        <f t="shared" si="17"/>
        <v>16244000000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304</v>
      </c>
      <c r="H150" s="11">
        <f t="shared" si="15"/>
        <v>0</v>
      </c>
      <c r="I150" s="11">
        <f t="shared" si="13"/>
        <v>-15808000000</v>
      </c>
      <c r="J150" s="11">
        <f t="shared" si="16"/>
        <v>0</v>
      </c>
      <c r="K150" s="11">
        <f t="shared" si="17"/>
        <v>-15808000000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299</v>
      </c>
      <c r="H151" s="99">
        <f t="shared" si="15"/>
        <v>0</v>
      </c>
      <c r="I151" s="99">
        <f t="shared" si="13"/>
        <v>-2392000000</v>
      </c>
      <c r="J151" s="99">
        <f t="shared" si="16"/>
        <v>-2024867169</v>
      </c>
      <c r="K151" s="11">
        <f t="shared" si="17"/>
        <v>-367132831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299</v>
      </c>
      <c r="H152" s="99">
        <f t="shared" si="15"/>
        <v>0</v>
      </c>
      <c r="I152" s="99">
        <f t="shared" si="13"/>
        <v>-9337770</v>
      </c>
      <c r="J152" s="99">
        <f t="shared" si="16"/>
        <v>0</v>
      </c>
      <c r="K152" s="99">
        <f t="shared" si="17"/>
        <v>-9337770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288</v>
      </c>
      <c r="H153" s="99">
        <f t="shared" si="15"/>
        <v>1</v>
      </c>
      <c r="I153" s="99">
        <f t="shared" si="13"/>
        <v>38769969</v>
      </c>
      <c r="J153" s="99">
        <f t="shared" si="16"/>
        <v>11804310</v>
      </c>
      <c r="K153" s="99">
        <f t="shared" si="17"/>
        <v>26965659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285</v>
      </c>
      <c r="H154" s="99">
        <f t="shared" si="15"/>
        <v>1</v>
      </c>
      <c r="I154" s="99">
        <f t="shared" si="13"/>
        <v>1938039288</v>
      </c>
      <c r="J154" s="99">
        <f t="shared" si="16"/>
        <v>1938039288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280</v>
      </c>
      <c r="H155" s="99">
        <f t="shared" si="15"/>
        <v>0</v>
      </c>
      <c r="I155" s="99">
        <f t="shared" si="13"/>
        <v>-56000000</v>
      </c>
      <c r="J155" s="99">
        <f t="shared" si="16"/>
        <v>0</v>
      </c>
      <c r="K155" s="99">
        <f t="shared" si="17"/>
        <v>-56000000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280</v>
      </c>
      <c r="H156" s="99">
        <f t="shared" si="15"/>
        <v>0</v>
      </c>
      <c r="I156" s="99">
        <f t="shared" si="13"/>
        <v>-69395200</v>
      </c>
      <c r="J156" s="99">
        <f t="shared" si="16"/>
        <v>0</v>
      </c>
      <c r="K156" s="99">
        <f t="shared" si="17"/>
        <v>-69395200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279</v>
      </c>
      <c r="H157" s="99">
        <f t="shared" si="15"/>
        <v>0</v>
      </c>
      <c r="I157" s="99">
        <f t="shared" si="13"/>
        <v>-45292860</v>
      </c>
      <c r="J157" s="99">
        <f t="shared" si="16"/>
        <v>0</v>
      </c>
      <c r="K157" s="99">
        <f t="shared" si="17"/>
        <v>-45292860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279</v>
      </c>
      <c r="H158" s="99">
        <f t="shared" si="15"/>
        <v>0</v>
      </c>
      <c r="I158" s="99">
        <f t="shared" si="13"/>
        <v>-837251100</v>
      </c>
      <c r="J158" s="99">
        <f t="shared" si="16"/>
        <v>0</v>
      </c>
      <c r="K158" s="99">
        <f t="shared" si="17"/>
        <v>-837251100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277</v>
      </c>
      <c r="H159" s="99">
        <f t="shared" si="15"/>
        <v>0</v>
      </c>
      <c r="I159" s="99">
        <f t="shared" si="13"/>
        <v>-277138500</v>
      </c>
      <c r="J159" s="99">
        <f t="shared" si="16"/>
        <v>0</v>
      </c>
      <c r="K159" s="99">
        <f t="shared" si="17"/>
        <v>-277138500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273</v>
      </c>
      <c r="H160" s="99">
        <f t="shared" si="15"/>
        <v>0</v>
      </c>
      <c r="I160" s="99">
        <f t="shared" si="13"/>
        <v>-27300000</v>
      </c>
      <c r="J160" s="99">
        <f t="shared" si="16"/>
        <v>0</v>
      </c>
      <c r="K160" s="99">
        <f t="shared" si="17"/>
        <v>-27300000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272</v>
      </c>
      <c r="H161" s="99">
        <f t="shared" si="15"/>
        <v>0</v>
      </c>
      <c r="I161" s="99">
        <f t="shared" si="13"/>
        <v>-544000000</v>
      </c>
      <c r="J161" s="99">
        <f t="shared" si="16"/>
        <v>0</v>
      </c>
      <c r="K161" s="99">
        <f t="shared" si="17"/>
        <v>-544000000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272</v>
      </c>
      <c r="H162" s="99">
        <f t="shared" si="15"/>
        <v>0</v>
      </c>
      <c r="I162" s="99">
        <f t="shared" si="13"/>
        <v>-272136000</v>
      </c>
      <c r="J162" s="99">
        <f t="shared" si="16"/>
        <v>0</v>
      </c>
      <c r="K162" s="99">
        <f t="shared" si="17"/>
        <v>-272136000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269</v>
      </c>
      <c r="H163" s="99">
        <f t="shared" si="15"/>
        <v>0</v>
      </c>
      <c r="I163" s="99">
        <f t="shared" si="13"/>
        <v>-1345000</v>
      </c>
      <c r="J163" s="99">
        <f t="shared" si="16"/>
        <v>0</v>
      </c>
      <c r="K163" s="99">
        <f t="shared" si="17"/>
        <v>-1345000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259</v>
      </c>
      <c r="H164" s="99">
        <f t="shared" si="15"/>
        <v>1</v>
      </c>
      <c r="I164" s="99">
        <f t="shared" si="13"/>
        <v>774000000</v>
      </c>
      <c r="J164" s="99">
        <f t="shared" si="16"/>
        <v>0</v>
      </c>
      <c r="K164" s="99">
        <f t="shared" si="17"/>
        <v>774000000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258</v>
      </c>
      <c r="H165" s="99">
        <f t="shared" si="15"/>
        <v>1</v>
      </c>
      <c r="I165" s="99">
        <f t="shared" si="13"/>
        <v>771000000</v>
      </c>
      <c r="J165" s="99">
        <f t="shared" si="16"/>
        <v>0</v>
      </c>
      <c r="K165" s="99">
        <f t="shared" si="17"/>
        <v>771000000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257</v>
      </c>
      <c r="H166" s="99">
        <f t="shared" si="15"/>
        <v>1</v>
      </c>
      <c r="I166" s="99">
        <f t="shared" si="13"/>
        <v>5200384</v>
      </c>
      <c r="J166" s="99">
        <f t="shared" si="16"/>
        <v>15319552</v>
      </c>
      <c r="K166" s="99">
        <f t="shared" si="17"/>
        <v>-10119168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252</v>
      </c>
      <c r="H167" s="99">
        <f t="shared" si="15"/>
        <v>0</v>
      </c>
      <c r="I167" s="99">
        <f t="shared" si="13"/>
        <v>-756226800</v>
      </c>
      <c r="J167" s="99">
        <f t="shared" si="16"/>
        <v>0</v>
      </c>
      <c r="K167" s="99">
        <f t="shared" si="17"/>
        <v>-756226800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234</v>
      </c>
      <c r="H168" s="99">
        <f t="shared" si="15"/>
        <v>0</v>
      </c>
      <c r="I168" s="99">
        <f t="shared" si="13"/>
        <v>-702210600</v>
      </c>
      <c r="J168" s="99">
        <f t="shared" si="16"/>
        <v>0</v>
      </c>
      <c r="K168" s="99">
        <f t="shared" si="17"/>
        <v>-702210600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226</v>
      </c>
      <c r="H169" s="99">
        <f t="shared" si="15"/>
        <v>1</v>
      </c>
      <c r="I169" s="99">
        <f t="shared" si="13"/>
        <v>4883625</v>
      </c>
      <c r="J169" s="99">
        <f t="shared" si="16"/>
        <v>15415875</v>
      </c>
      <c r="K169" s="99">
        <f t="shared" si="17"/>
        <v>-10532250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202</v>
      </c>
      <c r="H170" s="99">
        <f t="shared" si="15"/>
        <v>1</v>
      </c>
      <c r="I170" s="99">
        <f t="shared" si="13"/>
        <v>1005000000</v>
      </c>
      <c r="J170" s="99">
        <f t="shared" si="16"/>
        <v>0</v>
      </c>
      <c r="K170" s="99">
        <f t="shared" si="17"/>
        <v>1005000000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201</v>
      </c>
      <c r="H171" s="99">
        <f t="shared" si="15"/>
        <v>0</v>
      </c>
      <c r="I171" s="99">
        <f t="shared" si="13"/>
        <v>-1005000000</v>
      </c>
      <c r="J171" s="99">
        <f t="shared" si="16"/>
        <v>0</v>
      </c>
      <c r="K171" s="99">
        <f t="shared" si="17"/>
        <v>-1005000000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195</v>
      </c>
      <c r="H172" s="99">
        <f t="shared" si="15"/>
        <v>1</v>
      </c>
      <c r="I172" s="99">
        <f t="shared" si="13"/>
        <v>96224</v>
      </c>
      <c r="J172" s="99">
        <f t="shared" si="16"/>
        <v>12160114</v>
      </c>
      <c r="K172" s="99">
        <f t="shared" si="17"/>
        <v>-12063890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194</v>
      </c>
      <c r="H173" s="99">
        <f t="shared" si="15"/>
        <v>1</v>
      </c>
      <c r="I173" s="99">
        <f t="shared" si="13"/>
        <v>151505000</v>
      </c>
      <c r="J173" s="99">
        <f t="shared" si="16"/>
        <v>0</v>
      </c>
      <c r="K173" s="99">
        <f t="shared" si="17"/>
        <v>151505000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183</v>
      </c>
      <c r="H174" s="99">
        <f t="shared" si="15"/>
        <v>0</v>
      </c>
      <c r="I174" s="99">
        <f t="shared" si="13"/>
        <v>-5856000</v>
      </c>
      <c r="J174" s="99">
        <f t="shared" si="16"/>
        <v>0</v>
      </c>
      <c r="K174" s="99">
        <f t="shared" si="17"/>
        <v>-5856000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181</v>
      </c>
      <c r="H175" s="99">
        <f t="shared" si="15"/>
        <v>0</v>
      </c>
      <c r="I175" s="99">
        <f t="shared" si="13"/>
        <v>-135750000</v>
      </c>
      <c r="J175" s="99">
        <f t="shared" si="16"/>
        <v>0</v>
      </c>
      <c r="K175" s="99">
        <f t="shared" si="17"/>
        <v>-135750000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172</v>
      </c>
      <c r="H176" s="99">
        <f t="shared" si="15"/>
        <v>0</v>
      </c>
      <c r="I176" s="99">
        <f t="shared" si="13"/>
        <v>-1616112</v>
      </c>
      <c r="J176" s="99">
        <f t="shared" si="16"/>
        <v>0</v>
      </c>
      <c r="K176" s="99">
        <f t="shared" si="17"/>
        <v>-1616112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171</v>
      </c>
      <c r="H177" s="99">
        <f t="shared" si="15"/>
        <v>0</v>
      </c>
      <c r="I177" s="99">
        <f t="shared" si="13"/>
        <v>-7404300</v>
      </c>
      <c r="J177" s="99">
        <f t="shared" si="16"/>
        <v>0</v>
      </c>
      <c r="K177" s="99">
        <f t="shared" si="17"/>
        <v>-7404300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168</v>
      </c>
      <c r="H178" s="99">
        <f t="shared" si="15"/>
        <v>1</v>
      </c>
      <c r="I178" s="99">
        <f t="shared" si="13"/>
        <v>60120000</v>
      </c>
      <c r="J178" s="99">
        <f t="shared" si="16"/>
        <v>0</v>
      </c>
      <c r="K178" s="99">
        <f t="shared" si="17"/>
        <v>60120000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166</v>
      </c>
      <c r="H179" s="99">
        <f t="shared" si="15"/>
        <v>1</v>
      </c>
      <c r="I179" s="99">
        <f t="shared" si="13"/>
        <v>495000000</v>
      </c>
      <c r="J179" s="99">
        <f t="shared" si="16"/>
        <v>0</v>
      </c>
      <c r="K179" s="99">
        <f t="shared" si="17"/>
        <v>495000000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166</v>
      </c>
      <c r="H180" s="99">
        <f t="shared" si="15"/>
        <v>0</v>
      </c>
      <c r="I180" s="99">
        <f t="shared" si="13"/>
        <v>-2000300</v>
      </c>
      <c r="J180" s="99">
        <f t="shared" si="16"/>
        <v>0</v>
      </c>
      <c r="K180" s="99">
        <f t="shared" si="17"/>
        <v>-2000300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164</v>
      </c>
      <c r="H181" s="99">
        <f t="shared" si="15"/>
        <v>1</v>
      </c>
      <c r="I181" s="99">
        <f t="shared" si="13"/>
        <v>489000000</v>
      </c>
      <c r="J181" s="99">
        <f t="shared" si="16"/>
        <v>0</v>
      </c>
      <c r="K181" s="99">
        <f t="shared" si="17"/>
        <v>489000000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162</v>
      </c>
      <c r="H182" s="99">
        <f t="shared" si="15"/>
        <v>0</v>
      </c>
      <c r="I182" s="99">
        <f t="shared" si="13"/>
        <v>-5799600</v>
      </c>
      <c r="J182" s="99">
        <f t="shared" si="16"/>
        <v>0</v>
      </c>
      <c r="K182" s="99">
        <f t="shared" si="17"/>
        <v>-5799600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161</v>
      </c>
      <c r="H183" s="99">
        <f t="shared" si="15"/>
        <v>1</v>
      </c>
      <c r="I183" s="99">
        <f t="shared" si="13"/>
        <v>576000000</v>
      </c>
      <c r="J183" s="99">
        <f t="shared" si="16"/>
        <v>0</v>
      </c>
      <c r="K183" s="99">
        <f t="shared" si="17"/>
        <v>576000000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161</v>
      </c>
      <c r="H184" s="99">
        <f t="shared" si="15"/>
        <v>0</v>
      </c>
      <c r="I184" s="99">
        <f t="shared" si="13"/>
        <v>-5373697</v>
      </c>
      <c r="J184" s="99">
        <f t="shared" si="16"/>
        <v>0</v>
      </c>
      <c r="K184" s="99">
        <f t="shared" si="17"/>
        <v>-5373697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158</v>
      </c>
      <c r="H185" s="99">
        <f t="shared" si="15"/>
        <v>0</v>
      </c>
      <c r="I185" s="99">
        <f t="shared" si="13"/>
        <v>-1548400000</v>
      </c>
      <c r="J185" s="99">
        <f t="shared" si="16"/>
        <v>0</v>
      </c>
      <c r="K185" s="99">
        <f t="shared" si="17"/>
        <v>-1548400000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158</v>
      </c>
      <c r="H186" s="99">
        <f t="shared" si="15"/>
        <v>1</v>
      </c>
      <c r="I186" s="99">
        <f t="shared" si="13"/>
        <v>2826000000</v>
      </c>
      <c r="J186" s="99">
        <f t="shared" si="16"/>
        <v>0</v>
      </c>
      <c r="K186" s="99">
        <f t="shared" si="17"/>
        <v>2826000000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158</v>
      </c>
      <c r="H187" s="99">
        <f t="shared" si="15"/>
        <v>0</v>
      </c>
      <c r="I187" s="99">
        <f t="shared" si="13"/>
        <v>-1422000000</v>
      </c>
      <c r="J187" s="99">
        <f t="shared" si="16"/>
        <v>0</v>
      </c>
      <c r="K187" s="99">
        <f t="shared" si="17"/>
        <v>-1422000000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158</v>
      </c>
      <c r="H188" s="99">
        <f t="shared" si="15"/>
        <v>0</v>
      </c>
      <c r="I188" s="99">
        <f t="shared" si="13"/>
        <v>-1832800</v>
      </c>
      <c r="J188" s="99">
        <f t="shared" si="16"/>
        <v>0</v>
      </c>
      <c r="K188" s="99">
        <f t="shared" si="17"/>
        <v>-1832800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158</v>
      </c>
      <c r="H189" s="99">
        <f t="shared" si="15"/>
        <v>0</v>
      </c>
      <c r="I189" s="99">
        <f t="shared" si="13"/>
        <v>-522083666</v>
      </c>
      <c r="J189" s="99">
        <f t="shared" si="16"/>
        <v>0</v>
      </c>
      <c r="K189" s="99">
        <f t="shared" si="17"/>
        <v>-522083666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157</v>
      </c>
      <c r="H190" s="99">
        <f t="shared" si="15"/>
        <v>0</v>
      </c>
      <c r="I190" s="99">
        <f t="shared" si="13"/>
        <v>-471141300</v>
      </c>
      <c r="J190" s="99">
        <f t="shared" si="16"/>
        <v>0</v>
      </c>
      <c r="K190" s="99">
        <f t="shared" si="17"/>
        <v>-471141300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156</v>
      </c>
      <c r="H191" s="99">
        <f t="shared" si="15"/>
        <v>0</v>
      </c>
      <c r="I191" s="99">
        <f t="shared" si="13"/>
        <v>-430700400</v>
      </c>
      <c r="J191" s="99">
        <f t="shared" si="16"/>
        <v>0</v>
      </c>
      <c r="K191" s="99">
        <f t="shared" si="17"/>
        <v>-430700400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151</v>
      </c>
      <c r="H192" s="99">
        <f t="shared" si="15"/>
        <v>1</v>
      </c>
      <c r="I192" s="99">
        <f t="shared" si="13"/>
        <v>150000000</v>
      </c>
      <c r="J192" s="99">
        <f t="shared" si="16"/>
        <v>0</v>
      </c>
      <c r="K192" s="99">
        <f t="shared" si="17"/>
        <v>150000000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150</v>
      </c>
      <c r="H193" s="99">
        <f t="shared" si="15"/>
        <v>0</v>
      </c>
      <c r="I193" s="99">
        <f t="shared" si="13"/>
        <v>-2250000</v>
      </c>
      <c r="J193" s="99">
        <f t="shared" si="16"/>
        <v>0</v>
      </c>
      <c r="K193" s="99">
        <f t="shared" si="17"/>
        <v>-2250000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148</v>
      </c>
      <c r="H194" s="99">
        <f t="shared" si="15"/>
        <v>0</v>
      </c>
      <c r="I194" s="99">
        <f t="shared" si="13"/>
        <v>-146520000</v>
      </c>
      <c r="J194" s="99">
        <f t="shared" si="16"/>
        <v>0</v>
      </c>
      <c r="K194" s="99">
        <f t="shared" si="17"/>
        <v>-146520000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148</v>
      </c>
      <c r="H195" s="99">
        <f t="shared" si="15"/>
        <v>1</v>
      </c>
      <c r="I195" s="99">
        <f t="shared" si="13"/>
        <v>115101000</v>
      </c>
      <c r="J195" s="99">
        <f t="shared" si="16"/>
        <v>0</v>
      </c>
      <c r="K195" s="99">
        <f t="shared" si="17"/>
        <v>115101000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146</v>
      </c>
      <c r="H196" s="99">
        <f t="shared" si="15"/>
        <v>0</v>
      </c>
      <c r="I196" s="99">
        <f t="shared" si="13"/>
        <v>-109573000</v>
      </c>
      <c r="J196" s="99">
        <f t="shared" si="16"/>
        <v>0</v>
      </c>
      <c r="K196" s="99">
        <f t="shared" si="17"/>
        <v>-109573000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144</v>
      </c>
      <c r="H197" s="99">
        <f t="shared" si="15"/>
        <v>1</v>
      </c>
      <c r="I197" s="99">
        <f t="shared" si="13"/>
        <v>100100000</v>
      </c>
      <c r="J197" s="99">
        <f t="shared" si="16"/>
        <v>0</v>
      </c>
      <c r="K197" s="99">
        <f t="shared" si="17"/>
        <v>100100000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144</v>
      </c>
      <c r="H198" s="99">
        <f t="shared" si="15"/>
        <v>0</v>
      </c>
      <c r="I198" s="99">
        <f t="shared" si="13"/>
        <v>-14256000</v>
      </c>
      <c r="J198" s="99">
        <f t="shared" si="16"/>
        <v>0</v>
      </c>
      <c r="K198" s="99">
        <f t="shared" si="17"/>
        <v>-14256000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143</v>
      </c>
      <c r="H199" s="99">
        <f t="shared" si="15"/>
        <v>0</v>
      </c>
      <c r="I199" s="99">
        <f t="shared" si="13"/>
        <v>-29422250</v>
      </c>
      <c r="J199" s="99">
        <f t="shared" si="16"/>
        <v>0</v>
      </c>
      <c r="K199" s="99">
        <f t="shared" si="17"/>
        <v>-29422250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143</v>
      </c>
      <c r="H200" s="99">
        <f t="shared" si="15"/>
        <v>0</v>
      </c>
      <c r="I200" s="99">
        <f t="shared" si="13"/>
        <v>-13585000</v>
      </c>
      <c r="J200" s="99">
        <f t="shared" si="16"/>
        <v>0</v>
      </c>
      <c r="K200" s="99">
        <f t="shared" si="17"/>
        <v>-13585000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140</v>
      </c>
      <c r="H201" s="99">
        <f t="shared" si="15"/>
        <v>1</v>
      </c>
      <c r="I201" s="99">
        <f t="shared" si="13"/>
        <v>6762350000</v>
      </c>
      <c r="J201" s="99">
        <f t="shared" si="16"/>
        <v>0</v>
      </c>
      <c r="K201" s="99">
        <f t="shared" si="17"/>
        <v>6762350000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140</v>
      </c>
      <c r="H202" s="99">
        <f t="shared" si="15"/>
        <v>0</v>
      </c>
      <c r="I202" s="99">
        <f t="shared" si="13"/>
        <v>-420126000</v>
      </c>
      <c r="J202" s="99">
        <f t="shared" si="16"/>
        <v>0</v>
      </c>
      <c r="K202" s="99">
        <f t="shared" si="17"/>
        <v>-420126000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140</v>
      </c>
      <c r="H203" s="99">
        <f t="shared" si="15"/>
        <v>0</v>
      </c>
      <c r="I203" s="99">
        <f t="shared" si="13"/>
        <v>-700000</v>
      </c>
      <c r="J203" s="99">
        <f t="shared" si="16"/>
        <v>0</v>
      </c>
      <c r="K203" s="99">
        <f t="shared" si="17"/>
        <v>-700000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140</v>
      </c>
      <c r="H204" s="99">
        <f t="shared" si="15"/>
        <v>0</v>
      </c>
      <c r="I204" s="99">
        <f t="shared" si="13"/>
        <v>-4690000000</v>
      </c>
      <c r="J204" s="99">
        <f t="shared" si="16"/>
        <v>0</v>
      </c>
      <c r="K204" s="99">
        <f t="shared" si="17"/>
        <v>-4690000000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139</v>
      </c>
      <c r="H205" s="99">
        <f t="shared" si="15"/>
        <v>0</v>
      </c>
      <c r="I205" s="99">
        <f t="shared" si="13"/>
        <v>-1728465000</v>
      </c>
      <c r="J205" s="99">
        <f t="shared" si="16"/>
        <v>0</v>
      </c>
      <c r="K205" s="99">
        <f t="shared" si="17"/>
        <v>-1728465000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136</v>
      </c>
      <c r="H206" s="99">
        <f t="shared" si="15"/>
        <v>0</v>
      </c>
      <c r="I206" s="99">
        <f t="shared" si="13"/>
        <v>-2516000</v>
      </c>
      <c r="J206" s="99">
        <f t="shared" si="16"/>
        <v>0</v>
      </c>
      <c r="K206" s="99">
        <f t="shared" si="17"/>
        <v>-2516000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134</v>
      </c>
      <c r="H207" s="99">
        <f t="shared" si="15"/>
        <v>1</v>
      </c>
      <c r="I207" s="99">
        <f t="shared" si="13"/>
        <v>1925840</v>
      </c>
      <c r="J207" s="99">
        <f t="shared" ref="J207:J313" si="20">C207*(G207-H207)</f>
        <v>9426242</v>
      </c>
      <c r="K207" s="99">
        <f t="shared" si="17"/>
        <v>-7500402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133</v>
      </c>
      <c r="H208" s="99">
        <f t="shared" si="15"/>
        <v>1</v>
      </c>
      <c r="I208" s="99">
        <f t="shared" si="13"/>
        <v>109560000</v>
      </c>
      <c r="J208" s="99">
        <f t="shared" si="20"/>
        <v>0</v>
      </c>
      <c r="K208" s="99">
        <f t="shared" si="17"/>
        <v>109560000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131</v>
      </c>
      <c r="H209" s="99">
        <f t="shared" si="15"/>
        <v>0</v>
      </c>
      <c r="I209" s="99">
        <f t="shared" si="13"/>
        <v>-6869640</v>
      </c>
      <c r="J209" s="99">
        <f t="shared" si="20"/>
        <v>0</v>
      </c>
      <c r="K209" s="99">
        <f t="shared" si="17"/>
        <v>-6869640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130</v>
      </c>
      <c r="H210" s="99">
        <f t="shared" si="15"/>
        <v>0</v>
      </c>
      <c r="I210" s="99">
        <f t="shared" si="13"/>
        <v>-6643000</v>
      </c>
      <c r="J210" s="99">
        <f t="shared" si="20"/>
        <v>0</v>
      </c>
      <c r="K210" s="99">
        <f t="shared" si="17"/>
        <v>-6643000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129</v>
      </c>
      <c r="H211" s="99">
        <f t="shared" si="15"/>
        <v>0</v>
      </c>
      <c r="I211" s="99">
        <f t="shared" si="13"/>
        <v>-25800000</v>
      </c>
      <c r="J211" s="99">
        <f t="shared" si="20"/>
        <v>0</v>
      </c>
      <c r="K211" s="99">
        <f t="shared" si="17"/>
        <v>-25800000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128</v>
      </c>
      <c r="H212" s="99">
        <f t="shared" si="15"/>
        <v>0</v>
      </c>
      <c r="I212" s="99">
        <f t="shared" si="13"/>
        <v>-3584000</v>
      </c>
      <c r="J212" s="99">
        <f t="shared" si="20"/>
        <v>0</v>
      </c>
      <c r="K212" s="99">
        <f t="shared" si="17"/>
        <v>-3584000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127</v>
      </c>
      <c r="H213" s="99">
        <f t="shared" si="15"/>
        <v>0</v>
      </c>
      <c r="I213" s="99">
        <f t="shared" si="13"/>
        <v>-7505700</v>
      </c>
      <c r="J213" s="99">
        <f t="shared" si="20"/>
        <v>0</v>
      </c>
      <c r="K213" s="99">
        <f t="shared" si="17"/>
        <v>-7505700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126</v>
      </c>
      <c r="H214" s="99">
        <f t="shared" si="15"/>
        <v>0</v>
      </c>
      <c r="I214" s="99">
        <f t="shared" si="13"/>
        <v>-3780000</v>
      </c>
      <c r="J214" s="99">
        <f t="shared" si="20"/>
        <v>0</v>
      </c>
      <c r="K214" s="99">
        <f t="shared" si="17"/>
        <v>-3780000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126</v>
      </c>
      <c r="H215" s="99">
        <f t="shared" si="15"/>
        <v>0</v>
      </c>
      <c r="I215" s="99">
        <f t="shared" si="13"/>
        <v>-22428000</v>
      </c>
      <c r="J215" s="99">
        <f t="shared" si="20"/>
        <v>0</v>
      </c>
      <c r="K215" s="99">
        <f t="shared" si="17"/>
        <v>-22428000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125</v>
      </c>
      <c r="H216" s="99">
        <f t="shared" si="15"/>
        <v>0</v>
      </c>
      <c r="I216" s="99">
        <f t="shared" si="13"/>
        <v>-11951250</v>
      </c>
      <c r="J216" s="99">
        <f t="shared" si="20"/>
        <v>0</v>
      </c>
      <c r="K216" s="99">
        <f t="shared" si="17"/>
        <v>-11951250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122</v>
      </c>
      <c r="H217" s="99">
        <f t="shared" si="15"/>
        <v>0</v>
      </c>
      <c r="I217" s="99">
        <f t="shared" si="13"/>
        <v>-10248000</v>
      </c>
      <c r="J217" s="99">
        <f t="shared" si="20"/>
        <v>0</v>
      </c>
      <c r="K217" s="99">
        <f t="shared" si="17"/>
        <v>-10248000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120</v>
      </c>
      <c r="H218" s="99">
        <f t="shared" si="15"/>
        <v>0</v>
      </c>
      <c r="I218" s="99">
        <f t="shared" si="13"/>
        <v>-3960000</v>
      </c>
      <c r="J218" s="99">
        <f t="shared" si="20"/>
        <v>0</v>
      </c>
      <c r="K218" s="99">
        <f t="shared" si="17"/>
        <v>-3960000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117</v>
      </c>
      <c r="H219" s="99">
        <f t="shared" si="15"/>
        <v>1</v>
      </c>
      <c r="I219" s="99">
        <f t="shared" si="13"/>
        <v>179568000</v>
      </c>
      <c r="J219" s="99">
        <f t="shared" si="20"/>
        <v>0</v>
      </c>
      <c r="K219" s="99">
        <f t="shared" si="17"/>
        <v>179568000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116</v>
      </c>
      <c r="H220" s="99">
        <f t="shared" si="15"/>
        <v>0</v>
      </c>
      <c r="I220" s="99">
        <f t="shared" si="13"/>
        <v>-162481200</v>
      </c>
      <c r="J220" s="99">
        <f t="shared" si="20"/>
        <v>0</v>
      </c>
      <c r="K220" s="99">
        <f t="shared" si="17"/>
        <v>-162481200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116</v>
      </c>
      <c r="H221" s="99">
        <f t="shared" si="15"/>
        <v>0</v>
      </c>
      <c r="I221" s="99">
        <f t="shared" si="13"/>
        <v>-1160000</v>
      </c>
      <c r="J221" s="99">
        <f t="shared" si="20"/>
        <v>0</v>
      </c>
      <c r="K221" s="99">
        <f t="shared" si="17"/>
        <v>-1160000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116</v>
      </c>
      <c r="H222" s="99">
        <f t="shared" si="15"/>
        <v>0</v>
      </c>
      <c r="I222" s="99">
        <f t="shared" si="13"/>
        <v>-580000</v>
      </c>
      <c r="J222" s="99">
        <f t="shared" si="20"/>
        <v>-290000</v>
      </c>
      <c r="K222" s="99">
        <f t="shared" si="17"/>
        <v>-290000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110</v>
      </c>
      <c r="H223" s="99">
        <f t="shared" si="15"/>
        <v>0</v>
      </c>
      <c r="I223" s="99">
        <f t="shared" si="13"/>
        <v>-20900000</v>
      </c>
      <c r="J223" s="99">
        <f t="shared" si="20"/>
        <v>0</v>
      </c>
      <c r="K223" s="99">
        <f t="shared" si="17"/>
        <v>-20900000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103</v>
      </c>
      <c r="H224" s="99">
        <f t="shared" si="15"/>
        <v>1</v>
      </c>
      <c r="I224" s="99">
        <f t="shared" si="13"/>
        <v>194922</v>
      </c>
      <c r="J224" s="99">
        <f t="shared" si="20"/>
        <v>6627144</v>
      </c>
      <c r="K224" s="99">
        <f t="shared" si="17"/>
        <v>-6432222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97</v>
      </c>
      <c r="H225" s="99">
        <f t="shared" si="15"/>
        <v>1</v>
      </c>
      <c r="I225" s="99">
        <f t="shared" si="13"/>
        <v>480000000</v>
      </c>
      <c r="J225" s="99">
        <f t="shared" si="20"/>
        <v>0</v>
      </c>
      <c r="K225" s="99">
        <f t="shared" si="17"/>
        <v>480000000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96</v>
      </c>
      <c r="H226" s="99">
        <f t="shared" si="15"/>
        <v>0</v>
      </c>
      <c r="I226" s="99">
        <f t="shared" si="13"/>
        <v>-307200000</v>
      </c>
      <c r="J226" s="99">
        <f t="shared" si="20"/>
        <v>0</v>
      </c>
      <c r="K226" s="99">
        <f t="shared" si="17"/>
        <v>-307200000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96</v>
      </c>
      <c r="H227" s="99">
        <f t="shared" si="15"/>
        <v>1</v>
      </c>
      <c r="I227" s="99">
        <f t="shared" si="13"/>
        <v>228000000</v>
      </c>
      <c r="J227" s="99">
        <f t="shared" si="20"/>
        <v>0</v>
      </c>
      <c r="K227" s="99">
        <f t="shared" si="17"/>
        <v>228000000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94</v>
      </c>
      <c r="H228" s="99">
        <f t="shared" si="15"/>
        <v>0</v>
      </c>
      <c r="I228" s="99">
        <f t="shared" si="13"/>
        <v>-4700000</v>
      </c>
      <c r="J228" s="99">
        <f t="shared" si="20"/>
        <v>0</v>
      </c>
      <c r="K228" s="99">
        <f t="shared" si="17"/>
        <v>-4700000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93</v>
      </c>
      <c r="H229" s="99">
        <f t="shared" si="15"/>
        <v>0</v>
      </c>
      <c r="I229" s="99">
        <f t="shared" si="13"/>
        <v>-381365100</v>
      </c>
      <c r="J229" s="99">
        <f t="shared" si="20"/>
        <v>0</v>
      </c>
      <c r="K229" s="99">
        <f t="shared" si="17"/>
        <v>-381365100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89</v>
      </c>
      <c r="H230" s="99">
        <f t="shared" si="15"/>
        <v>1</v>
      </c>
      <c r="I230" s="99">
        <f t="shared" si="13"/>
        <v>853600000</v>
      </c>
      <c r="J230" s="99">
        <f t="shared" si="20"/>
        <v>0</v>
      </c>
      <c r="K230" s="99">
        <f t="shared" si="17"/>
        <v>853600000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89</v>
      </c>
      <c r="H231" s="99">
        <f t="shared" si="15"/>
        <v>0</v>
      </c>
      <c r="I231" s="99">
        <f t="shared" si="13"/>
        <v>-267080100</v>
      </c>
      <c r="J231" s="99">
        <f t="shared" si="20"/>
        <v>0</v>
      </c>
      <c r="K231" s="99">
        <f t="shared" si="17"/>
        <v>-267080100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88</v>
      </c>
      <c r="H232" s="99">
        <f t="shared" si="15"/>
        <v>0</v>
      </c>
      <c r="I232" s="99">
        <f t="shared" si="13"/>
        <v>-264079200</v>
      </c>
      <c r="J232" s="99">
        <f t="shared" si="20"/>
        <v>0</v>
      </c>
      <c r="K232" s="99">
        <f t="shared" si="17"/>
        <v>-264079200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88</v>
      </c>
      <c r="H233" s="99">
        <f t="shared" si="15"/>
        <v>0</v>
      </c>
      <c r="I233" s="99">
        <f t="shared" si="13"/>
        <v>-48840000</v>
      </c>
      <c r="J233" s="99">
        <f t="shared" si="20"/>
        <v>0</v>
      </c>
      <c r="K233" s="99">
        <f t="shared" si="17"/>
        <v>-48840000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87</v>
      </c>
      <c r="H234" s="99">
        <f t="shared" si="15"/>
        <v>0</v>
      </c>
      <c r="I234" s="99">
        <f t="shared" si="13"/>
        <v>-12037320</v>
      </c>
      <c r="J234" s="99">
        <f t="shared" si="20"/>
        <v>0</v>
      </c>
      <c r="K234" s="99">
        <f t="shared" si="17"/>
        <v>-12037320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86</v>
      </c>
      <c r="H235" s="99">
        <f t="shared" si="15"/>
        <v>0</v>
      </c>
      <c r="I235" s="99">
        <f t="shared" si="13"/>
        <v>-258077400</v>
      </c>
      <c r="J235" s="99">
        <f t="shared" si="20"/>
        <v>0</v>
      </c>
      <c r="K235" s="99">
        <f t="shared" si="17"/>
        <v>-258077400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84</v>
      </c>
      <c r="H236" s="99">
        <f t="shared" si="15"/>
        <v>0</v>
      </c>
      <c r="I236" s="99">
        <f t="shared" si="13"/>
        <v>-4620000</v>
      </c>
      <c r="J236" s="99">
        <f t="shared" si="20"/>
        <v>0</v>
      </c>
      <c r="K236" s="99">
        <f t="shared" si="17"/>
        <v>-4620000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80</v>
      </c>
      <c r="H237" s="99">
        <f t="shared" si="15"/>
        <v>1</v>
      </c>
      <c r="I237" s="99">
        <f t="shared" si="13"/>
        <v>476765000</v>
      </c>
      <c r="J237" s="99">
        <f t="shared" si="20"/>
        <v>0</v>
      </c>
      <c r="K237" s="99">
        <f t="shared" si="17"/>
        <v>476765000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78</v>
      </c>
      <c r="H238" s="99">
        <f t="shared" si="15"/>
        <v>0</v>
      </c>
      <c r="I238" s="99">
        <f t="shared" si="13"/>
        <v>-585000</v>
      </c>
      <c r="J238" s="99">
        <f t="shared" si="20"/>
        <v>0</v>
      </c>
      <c r="K238" s="99">
        <f t="shared" si="17"/>
        <v>-585000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77</v>
      </c>
      <c r="H239" s="99">
        <f t="shared" si="15"/>
        <v>0</v>
      </c>
      <c r="I239" s="99">
        <f t="shared" si="13"/>
        <v>-315586271</v>
      </c>
      <c r="J239" s="99">
        <f t="shared" si="20"/>
        <v>0</v>
      </c>
      <c r="K239" s="99">
        <f t="shared" si="17"/>
        <v>-315586271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77</v>
      </c>
      <c r="H240" s="99">
        <f t="shared" si="15"/>
        <v>0</v>
      </c>
      <c r="I240" s="99">
        <f t="shared" si="13"/>
        <v>-2558325</v>
      </c>
      <c r="J240" s="99">
        <f t="shared" si="20"/>
        <v>0</v>
      </c>
      <c r="K240" s="99">
        <f t="shared" si="17"/>
        <v>-2558325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77</v>
      </c>
      <c r="H241" s="99">
        <f t="shared" si="15"/>
        <v>0</v>
      </c>
      <c r="I241" s="99">
        <f t="shared" si="13"/>
        <v>-145915000</v>
      </c>
      <c r="J241" s="99">
        <f t="shared" si="20"/>
        <v>0</v>
      </c>
      <c r="K241" s="99">
        <f t="shared" si="17"/>
        <v>-145915000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70</v>
      </c>
      <c r="H242" s="99">
        <f t="shared" si="15"/>
        <v>1</v>
      </c>
      <c r="I242" s="99">
        <f t="shared" si="13"/>
        <v>172500000</v>
      </c>
      <c r="J242" s="99">
        <f t="shared" si="20"/>
        <v>0</v>
      </c>
      <c r="K242" s="99">
        <f t="shared" si="17"/>
        <v>172500000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68</v>
      </c>
      <c r="H243" s="99">
        <f t="shared" si="15"/>
        <v>0</v>
      </c>
      <c r="I243" s="99">
        <f t="shared" si="13"/>
        <v>-170000000</v>
      </c>
      <c r="J243" s="99">
        <f t="shared" si="20"/>
        <v>0</v>
      </c>
      <c r="K243" s="99">
        <f t="shared" si="17"/>
        <v>-170000000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66</v>
      </c>
      <c r="H244" s="99">
        <f t="shared" si="15"/>
        <v>1</v>
      </c>
      <c r="I244" s="99">
        <f t="shared" si="13"/>
        <v>71500000</v>
      </c>
      <c r="J244" s="99">
        <f t="shared" si="20"/>
        <v>0</v>
      </c>
      <c r="K244" s="99">
        <f t="shared" si="17"/>
        <v>71500000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64</v>
      </c>
      <c r="H245" s="99">
        <f t="shared" si="15"/>
        <v>1</v>
      </c>
      <c r="I245" s="99">
        <f t="shared" si="13"/>
        <v>189000000</v>
      </c>
      <c r="J245" s="99">
        <f t="shared" si="20"/>
        <v>0</v>
      </c>
      <c r="K245" s="99">
        <f t="shared" si="17"/>
        <v>189000000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62</v>
      </c>
      <c r="H246" s="99">
        <f t="shared" si="15"/>
        <v>0</v>
      </c>
      <c r="I246" s="99">
        <f t="shared" si="13"/>
        <v>-250523400</v>
      </c>
      <c r="J246" s="99">
        <f t="shared" si="20"/>
        <v>0</v>
      </c>
      <c r="K246" s="99">
        <f t="shared" si="17"/>
        <v>-250523400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62</v>
      </c>
      <c r="H247" s="99">
        <f t="shared" si="15"/>
        <v>1</v>
      </c>
      <c r="I247" s="99">
        <f t="shared" si="13"/>
        <v>29890000</v>
      </c>
      <c r="J247" s="99">
        <f t="shared" si="20"/>
        <v>0</v>
      </c>
      <c r="K247" s="99">
        <f t="shared" si="17"/>
        <v>29890000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61</v>
      </c>
      <c r="H248" s="99">
        <f t="shared" si="15"/>
        <v>1</v>
      </c>
      <c r="I248" s="99">
        <f t="shared" si="13"/>
        <v>84000000</v>
      </c>
      <c r="J248" s="99">
        <f t="shared" si="20"/>
        <v>0</v>
      </c>
      <c r="K248" s="99">
        <f t="shared" si="17"/>
        <v>84000000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61</v>
      </c>
      <c r="H249" s="99">
        <f t="shared" si="15"/>
        <v>0</v>
      </c>
      <c r="I249" s="99">
        <f t="shared" si="13"/>
        <v>-91500000</v>
      </c>
      <c r="J249" s="99">
        <f t="shared" si="20"/>
        <v>0</v>
      </c>
      <c r="K249" s="99">
        <f t="shared" si="17"/>
        <v>-91500000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60</v>
      </c>
      <c r="H250" s="99">
        <f t="shared" si="15"/>
        <v>0</v>
      </c>
      <c r="I250" s="99">
        <f t="shared" si="13"/>
        <v>-6000000</v>
      </c>
      <c r="J250" s="99">
        <f t="shared" si="20"/>
        <v>0</v>
      </c>
      <c r="K250" s="99">
        <f t="shared" si="17"/>
        <v>-6000000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59</v>
      </c>
      <c r="H251" s="99">
        <f t="shared" si="15"/>
        <v>0</v>
      </c>
      <c r="I251" s="99">
        <f t="shared" si="13"/>
        <v>-820100</v>
      </c>
      <c r="J251" s="99">
        <f t="shared" si="20"/>
        <v>0</v>
      </c>
      <c r="K251" s="99">
        <f t="shared" si="17"/>
        <v>-820100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59</v>
      </c>
      <c r="H252" s="99">
        <f t="shared" si="15"/>
        <v>1</v>
      </c>
      <c r="I252" s="99">
        <f t="shared" si="13"/>
        <v>17400000</v>
      </c>
      <c r="J252" s="99">
        <f t="shared" si="20"/>
        <v>0</v>
      </c>
      <c r="K252" s="99">
        <f t="shared" si="17"/>
        <v>17400000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57</v>
      </c>
      <c r="H253" s="99">
        <f t="shared" si="15"/>
        <v>1</v>
      </c>
      <c r="I253" s="99">
        <f t="shared" si="13"/>
        <v>672000000</v>
      </c>
      <c r="J253" s="99">
        <f t="shared" si="20"/>
        <v>0</v>
      </c>
      <c r="K253" s="99">
        <f t="shared" si="17"/>
        <v>672000000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56</v>
      </c>
      <c r="H254" s="99">
        <f t="shared" si="15"/>
        <v>1</v>
      </c>
      <c r="I254" s="99">
        <f t="shared" si="13"/>
        <v>165000000</v>
      </c>
      <c r="J254" s="99">
        <f t="shared" si="20"/>
        <v>0</v>
      </c>
      <c r="K254" s="99">
        <f t="shared" si="17"/>
        <v>165000000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55</v>
      </c>
      <c r="H255" s="99">
        <f t="shared" si="15"/>
        <v>0</v>
      </c>
      <c r="I255" s="99">
        <f t="shared" si="13"/>
        <v>-770000000</v>
      </c>
      <c r="J255" s="99">
        <f t="shared" si="20"/>
        <v>0</v>
      </c>
      <c r="K255" s="99">
        <f t="shared" si="17"/>
        <v>-770000000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54</v>
      </c>
      <c r="H256" s="99">
        <f t="shared" si="15"/>
        <v>0</v>
      </c>
      <c r="I256" s="99">
        <f t="shared" si="13"/>
        <v>-6748326</v>
      </c>
      <c r="J256" s="99">
        <f t="shared" si="20"/>
        <v>0</v>
      </c>
      <c r="K256" s="99">
        <f t="shared" si="17"/>
        <v>-6748326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54</v>
      </c>
      <c r="H257" s="99">
        <f t="shared" si="15"/>
        <v>0</v>
      </c>
      <c r="I257" s="99">
        <f t="shared" si="13"/>
        <v>0</v>
      </c>
      <c r="J257" s="99">
        <f t="shared" si="20"/>
        <v>-430314606</v>
      </c>
      <c r="K257" s="99">
        <f t="shared" si="17"/>
        <v>430314606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53</v>
      </c>
      <c r="H258" s="99">
        <f t="shared" si="15"/>
        <v>0</v>
      </c>
      <c r="I258" s="99">
        <f t="shared" si="13"/>
        <v>-69589000</v>
      </c>
      <c r="J258" s="99">
        <f t="shared" si="20"/>
        <v>0</v>
      </c>
      <c r="K258" s="99">
        <f t="shared" si="17"/>
        <v>-69589000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50</v>
      </c>
      <c r="H259" s="99">
        <f t="shared" si="15"/>
        <v>1</v>
      </c>
      <c r="I259" s="99">
        <f t="shared" si="13"/>
        <v>98000000</v>
      </c>
      <c r="J259" s="99">
        <f t="shared" si="20"/>
        <v>0</v>
      </c>
      <c r="K259" s="99">
        <f t="shared" si="17"/>
        <v>98000000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49</v>
      </c>
      <c r="H260" s="99">
        <f t="shared" si="15"/>
        <v>0</v>
      </c>
      <c r="I260" s="99">
        <f t="shared" si="13"/>
        <v>-93100000</v>
      </c>
      <c r="J260" s="99">
        <f t="shared" si="20"/>
        <v>0</v>
      </c>
      <c r="K260" s="99">
        <f t="shared" si="17"/>
        <v>-93100000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49</v>
      </c>
      <c r="H261" s="99">
        <f t="shared" si="15"/>
        <v>0</v>
      </c>
      <c r="I261" s="99">
        <f t="shared" si="13"/>
        <v>-4924500</v>
      </c>
      <c r="J261" s="99">
        <f t="shared" si="20"/>
        <v>0</v>
      </c>
      <c r="K261" s="99">
        <f t="shared" si="17"/>
        <v>-4924500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49</v>
      </c>
      <c r="H262" s="99">
        <f t="shared" si="15"/>
        <v>0</v>
      </c>
      <c r="I262" s="99">
        <f t="shared" si="13"/>
        <v>-3364830</v>
      </c>
      <c r="J262" s="99">
        <f t="shared" si="20"/>
        <v>0</v>
      </c>
      <c r="K262" s="99">
        <f t="shared" si="17"/>
        <v>-3364830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48</v>
      </c>
      <c r="H263" s="99">
        <f t="shared" si="15"/>
        <v>0</v>
      </c>
      <c r="I263" s="99">
        <f t="shared" si="13"/>
        <v>-5692800</v>
      </c>
      <c r="J263" s="99">
        <f t="shared" si="20"/>
        <v>0</v>
      </c>
      <c r="K263" s="99">
        <f t="shared" si="17"/>
        <v>-5692800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46</v>
      </c>
      <c r="H264" s="99">
        <f t="shared" si="15"/>
        <v>1</v>
      </c>
      <c r="I264" s="99">
        <f t="shared" si="13"/>
        <v>305055000</v>
      </c>
      <c r="J264" s="99">
        <f t="shared" si="20"/>
        <v>0</v>
      </c>
      <c r="K264" s="99">
        <f t="shared" si="17"/>
        <v>305055000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46</v>
      </c>
      <c r="H265" s="99">
        <f t="shared" si="15"/>
        <v>0</v>
      </c>
      <c r="I265" s="99">
        <f t="shared" si="13"/>
        <v>-294400000</v>
      </c>
      <c r="J265" s="99">
        <f t="shared" si="20"/>
        <v>0</v>
      </c>
      <c r="K265" s="99">
        <f t="shared" si="17"/>
        <v>-294400000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46</v>
      </c>
      <c r="H266" s="99">
        <f t="shared" si="15"/>
        <v>0</v>
      </c>
      <c r="I266" s="99">
        <f t="shared" si="13"/>
        <v>-17894000</v>
      </c>
      <c r="J266" s="99">
        <f t="shared" si="20"/>
        <v>0</v>
      </c>
      <c r="K266" s="99">
        <f t="shared" si="17"/>
        <v>-17894000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42</v>
      </c>
      <c r="H267" s="99">
        <f t="shared" si="15"/>
        <v>1</v>
      </c>
      <c r="I267" s="99">
        <f t="shared" si="13"/>
        <v>9020000</v>
      </c>
      <c r="J267" s="99">
        <f t="shared" si="20"/>
        <v>0</v>
      </c>
      <c r="K267" s="99">
        <f t="shared" si="17"/>
        <v>9020000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42</v>
      </c>
      <c r="H268" s="99">
        <f t="shared" si="15"/>
        <v>0</v>
      </c>
      <c r="I268" s="99">
        <f t="shared" si="13"/>
        <v>-4594380</v>
      </c>
      <c r="J268" s="99">
        <f t="shared" si="20"/>
        <v>0</v>
      </c>
      <c r="K268" s="99">
        <f t="shared" si="17"/>
        <v>-4594380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40</v>
      </c>
      <c r="H269" s="99">
        <f t="shared" si="15"/>
        <v>1</v>
      </c>
      <c r="I269" s="99">
        <f t="shared" si="13"/>
        <v>3900000</v>
      </c>
      <c r="J269" s="99">
        <f t="shared" si="20"/>
        <v>0</v>
      </c>
      <c r="K269" s="99">
        <f t="shared" si="17"/>
        <v>3900000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40</v>
      </c>
      <c r="H270" s="99">
        <f t="shared" si="15"/>
        <v>1</v>
      </c>
      <c r="I270" s="99">
        <f t="shared" si="13"/>
        <v>101400000</v>
      </c>
      <c r="J270" s="99">
        <f t="shared" si="20"/>
        <v>0</v>
      </c>
      <c r="K270" s="99">
        <f t="shared" si="17"/>
        <v>101400000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39</v>
      </c>
      <c r="H271" s="99">
        <f t="shared" si="15"/>
        <v>1</v>
      </c>
      <c r="I271" s="99">
        <f t="shared" si="13"/>
        <v>167200000</v>
      </c>
      <c r="J271" s="99">
        <f t="shared" si="20"/>
        <v>0</v>
      </c>
      <c r="K271" s="99">
        <f t="shared" si="17"/>
        <v>167200000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39</v>
      </c>
      <c r="H272" s="99">
        <f t="shared" si="15"/>
        <v>0</v>
      </c>
      <c r="I272" s="99">
        <f t="shared" si="13"/>
        <v>-3705000</v>
      </c>
      <c r="J272" s="99">
        <f t="shared" si="20"/>
        <v>0</v>
      </c>
      <c r="K272" s="99">
        <f t="shared" si="17"/>
        <v>-3705000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38</v>
      </c>
      <c r="H273" s="99">
        <f t="shared" si="15"/>
        <v>0</v>
      </c>
      <c r="I273" s="99">
        <f t="shared" si="13"/>
        <v>-34200000</v>
      </c>
      <c r="J273" s="99">
        <f t="shared" si="20"/>
        <v>0</v>
      </c>
      <c r="K273" s="99">
        <f t="shared" si="17"/>
        <v>-34200000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37</v>
      </c>
      <c r="H274" s="99">
        <f t="shared" si="15"/>
        <v>1</v>
      </c>
      <c r="I274" s="99">
        <f t="shared" si="13"/>
        <v>90000000</v>
      </c>
      <c r="J274" s="99">
        <f t="shared" si="20"/>
        <v>0</v>
      </c>
      <c r="K274" s="99">
        <f t="shared" si="17"/>
        <v>90000000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37</v>
      </c>
      <c r="H275" s="99">
        <f t="shared" si="15"/>
        <v>0</v>
      </c>
      <c r="I275" s="99">
        <f t="shared" si="13"/>
        <v>-47619000</v>
      </c>
      <c r="J275" s="99">
        <f t="shared" si="20"/>
        <v>0</v>
      </c>
      <c r="K275" s="99">
        <f t="shared" si="17"/>
        <v>-47619000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35</v>
      </c>
      <c r="H276" s="99">
        <f t="shared" si="15"/>
        <v>1</v>
      </c>
      <c r="I276" s="99">
        <f t="shared" si="13"/>
        <v>129200000</v>
      </c>
      <c r="J276" s="99">
        <f t="shared" si="20"/>
        <v>0</v>
      </c>
      <c r="K276" s="99">
        <f t="shared" si="17"/>
        <v>129200000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34</v>
      </c>
      <c r="H277" s="99">
        <f t="shared" si="15"/>
        <v>1</v>
      </c>
      <c r="I277" s="99">
        <f t="shared" si="13"/>
        <v>693000000</v>
      </c>
      <c r="J277" s="99">
        <f t="shared" si="20"/>
        <v>0</v>
      </c>
      <c r="K277" s="99">
        <f t="shared" si="17"/>
        <v>693000000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33</v>
      </c>
      <c r="H278" s="99">
        <f t="shared" si="15"/>
        <v>1</v>
      </c>
      <c r="I278" s="99">
        <f t="shared" si="13"/>
        <v>96000000</v>
      </c>
      <c r="J278" s="99">
        <f t="shared" si="20"/>
        <v>0</v>
      </c>
      <c r="K278" s="99">
        <f t="shared" si="17"/>
        <v>96000000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33</v>
      </c>
      <c r="H279" s="99">
        <f t="shared" si="15"/>
        <v>1</v>
      </c>
      <c r="I279" s="99">
        <f t="shared" si="13"/>
        <v>64000000</v>
      </c>
      <c r="J279" s="99">
        <f t="shared" si="20"/>
        <v>0</v>
      </c>
      <c r="K279" s="99">
        <f t="shared" si="17"/>
        <v>64000000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32</v>
      </c>
      <c r="H280" s="99">
        <f t="shared" si="15"/>
        <v>0</v>
      </c>
      <c r="I280" s="99">
        <f t="shared" si="13"/>
        <v>-64000000</v>
      </c>
      <c r="J280" s="99">
        <f t="shared" si="20"/>
        <v>0</v>
      </c>
      <c r="K280" s="99">
        <f t="shared" si="17"/>
        <v>-64000000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31</v>
      </c>
      <c r="H281" s="99">
        <f t="shared" si="15"/>
        <v>0</v>
      </c>
      <c r="I281" s="99">
        <f t="shared" si="13"/>
        <v>-310000000</v>
      </c>
      <c r="J281" s="99">
        <f t="shared" si="20"/>
        <v>0</v>
      </c>
      <c r="K281" s="99">
        <f t="shared" si="17"/>
        <v>-310000000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27</v>
      </c>
      <c r="H282" s="99">
        <f t="shared" si="15"/>
        <v>0</v>
      </c>
      <c r="I282" s="99">
        <f t="shared" si="13"/>
        <v>-450900000</v>
      </c>
      <c r="J282" s="99">
        <f t="shared" ref="J282:J296" si="22">C282*(G282-H282)</f>
        <v>0</v>
      </c>
      <c r="K282" s="99">
        <f t="shared" ref="K282:K296" si="23">D282*(G282-H282)</f>
        <v>-450900000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25</v>
      </c>
      <c r="H283" s="99">
        <f t="shared" si="15"/>
        <v>1</v>
      </c>
      <c r="I283" s="99">
        <f t="shared" si="13"/>
        <v>288000000</v>
      </c>
      <c r="J283" s="99">
        <f t="shared" si="22"/>
        <v>0</v>
      </c>
      <c r="K283" s="99">
        <f t="shared" si="23"/>
        <v>288000000</v>
      </c>
    </row>
    <row r="284" spans="1:12">
      <c r="A284" s="99" t="s">
        <v>4617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24</v>
      </c>
      <c r="H284" s="99">
        <f t="shared" si="15"/>
        <v>1</v>
      </c>
      <c r="I284" s="99">
        <f t="shared" si="13"/>
        <v>43700000</v>
      </c>
      <c r="J284" s="99">
        <f t="shared" si="22"/>
        <v>0</v>
      </c>
      <c r="K284" s="99">
        <f t="shared" si="23"/>
        <v>43700000</v>
      </c>
    </row>
    <row r="285" spans="1:12">
      <c r="A285" s="99" t="s">
        <v>4617</v>
      </c>
      <c r="B285" s="18">
        <v>-3995000</v>
      </c>
      <c r="C285" s="18">
        <v>0</v>
      </c>
      <c r="D285" s="18">
        <f t="shared" si="18"/>
        <v>-3995000</v>
      </c>
      <c r="E285" s="99" t="s">
        <v>4619</v>
      </c>
      <c r="F285" s="99">
        <v>3</v>
      </c>
      <c r="G285" s="36">
        <f t="shared" si="21"/>
        <v>24</v>
      </c>
      <c r="H285" s="99">
        <f t="shared" si="15"/>
        <v>0</v>
      </c>
      <c r="I285" s="99">
        <f t="shared" si="13"/>
        <v>-95880000</v>
      </c>
      <c r="J285" s="99">
        <f t="shared" si="22"/>
        <v>0</v>
      </c>
      <c r="K285" s="99">
        <f t="shared" si="23"/>
        <v>-95880000</v>
      </c>
    </row>
    <row r="286" spans="1:12">
      <c r="A286" s="99" t="s">
        <v>4627</v>
      </c>
      <c r="B286" s="18">
        <v>-2010700</v>
      </c>
      <c r="C286" s="18">
        <v>0</v>
      </c>
      <c r="D286" s="18">
        <f t="shared" si="18"/>
        <v>-2010700</v>
      </c>
      <c r="E286" s="99" t="s">
        <v>4632</v>
      </c>
      <c r="F286" s="99">
        <v>0</v>
      </c>
      <c r="G286" s="36">
        <f t="shared" si="21"/>
        <v>21</v>
      </c>
      <c r="H286" s="99">
        <f t="shared" si="15"/>
        <v>0</v>
      </c>
      <c r="I286" s="99">
        <f t="shared" si="13"/>
        <v>-42224700</v>
      </c>
      <c r="J286" s="99">
        <f t="shared" si="22"/>
        <v>0</v>
      </c>
      <c r="K286" s="99">
        <f t="shared" si="23"/>
        <v>-42224700</v>
      </c>
    </row>
    <row r="287" spans="1:12">
      <c r="A287" s="99" t="s">
        <v>4627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21</v>
      </c>
      <c r="H287" s="99">
        <f t="shared" si="15"/>
        <v>0</v>
      </c>
      <c r="I287" s="99">
        <f t="shared" si="13"/>
        <v>-84000000</v>
      </c>
      <c r="J287" s="99">
        <f t="shared" si="22"/>
        <v>0</v>
      </c>
      <c r="K287" s="99">
        <f t="shared" si="23"/>
        <v>-84000000</v>
      </c>
    </row>
    <row r="288" spans="1:12">
      <c r="A288" s="99" t="s">
        <v>4633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20</v>
      </c>
      <c r="H288" s="99">
        <f t="shared" si="15"/>
        <v>0</v>
      </c>
      <c r="I288" s="99">
        <f t="shared" si="13"/>
        <v>-114000000</v>
      </c>
      <c r="J288" s="99">
        <f t="shared" si="22"/>
        <v>0</v>
      </c>
      <c r="K288" s="99">
        <f t="shared" si="23"/>
        <v>-114000000</v>
      </c>
      <c r="L288" t="s">
        <v>25</v>
      </c>
    </row>
    <row r="289" spans="1:13">
      <c r="A289" s="99" t="s">
        <v>4643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18</v>
      </c>
      <c r="H289" s="99">
        <f t="shared" si="15"/>
        <v>1</v>
      </c>
      <c r="I289" s="99">
        <f t="shared" si="13"/>
        <v>136000000</v>
      </c>
      <c r="J289" s="99">
        <f t="shared" si="22"/>
        <v>0</v>
      </c>
      <c r="K289" s="99">
        <f t="shared" si="23"/>
        <v>136000000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17</v>
      </c>
      <c r="H290" s="99">
        <f t="shared" si="15"/>
        <v>0</v>
      </c>
      <c r="I290" s="99">
        <f t="shared" si="13"/>
        <v>-136000000</v>
      </c>
      <c r="J290" s="99">
        <f t="shared" si="22"/>
        <v>0</v>
      </c>
      <c r="K290" s="99">
        <f t="shared" si="23"/>
        <v>-136000000</v>
      </c>
    </row>
    <row r="291" spans="1:13">
      <c r="A291" s="99" t="s">
        <v>4648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14</v>
      </c>
      <c r="H291" s="99">
        <f t="shared" si="15"/>
        <v>0</v>
      </c>
      <c r="I291" s="99">
        <f t="shared" si="13"/>
        <v>-84000000</v>
      </c>
      <c r="J291" s="99">
        <f t="shared" si="22"/>
        <v>0</v>
      </c>
      <c r="K291" s="99">
        <f t="shared" si="23"/>
        <v>-84000000</v>
      </c>
    </row>
    <row r="292" spans="1:13">
      <c r="A292" s="99" t="s">
        <v>4648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14</v>
      </c>
      <c r="H292" s="99">
        <f t="shared" si="15"/>
        <v>0</v>
      </c>
      <c r="I292" s="99">
        <f t="shared" si="13"/>
        <v>-1082410</v>
      </c>
      <c r="J292" s="99">
        <f t="shared" si="22"/>
        <v>0</v>
      </c>
      <c r="K292" s="99">
        <f t="shared" si="23"/>
        <v>-1082410</v>
      </c>
    </row>
    <row r="293" spans="1:13">
      <c r="A293" s="99" t="s">
        <v>4654</v>
      </c>
      <c r="B293" s="18">
        <v>-96850</v>
      </c>
      <c r="C293" s="18">
        <v>0</v>
      </c>
      <c r="D293" s="18">
        <f t="shared" si="18"/>
        <v>-96850</v>
      </c>
      <c r="E293" s="99" t="s">
        <v>4663</v>
      </c>
      <c r="F293" s="99">
        <v>2</v>
      </c>
      <c r="G293" s="36">
        <f t="shared" si="21"/>
        <v>13</v>
      </c>
      <c r="H293" s="99">
        <f t="shared" si="15"/>
        <v>0</v>
      </c>
      <c r="I293" s="99">
        <f t="shared" si="13"/>
        <v>-1259050</v>
      </c>
      <c r="J293" s="99">
        <f t="shared" si="22"/>
        <v>0</v>
      </c>
      <c r="K293" s="99">
        <f t="shared" si="23"/>
        <v>-1259050</v>
      </c>
    </row>
    <row r="294" spans="1:13">
      <c r="A294" s="99" t="s">
        <v>4667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11</v>
      </c>
      <c r="H294" s="99">
        <f t="shared" si="15"/>
        <v>0</v>
      </c>
      <c r="I294" s="99">
        <f t="shared" si="13"/>
        <v>-495000</v>
      </c>
      <c r="J294" s="99">
        <f t="shared" si="22"/>
        <v>0</v>
      </c>
      <c r="K294" s="99">
        <f t="shared" si="23"/>
        <v>-495000</v>
      </c>
    </row>
    <row r="295" spans="1:13">
      <c r="A295" s="99" t="s">
        <v>4667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11</v>
      </c>
      <c r="H295" s="99">
        <f t="shared" si="15"/>
        <v>0</v>
      </c>
      <c r="I295" s="99">
        <f t="shared" si="13"/>
        <v>-526328</v>
      </c>
      <c r="J295" s="99">
        <f t="shared" si="22"/>
        <v>0</v>
      </c>
      <c r="K295" s="99">
        <f t="shared" si="23"/>
        <v>-526328</v>
      </c>
      <c r="M295" t="s">
        <v>25</v>
      </c>
    </row>
    <row r="296" spans="1:13">
      <c r="A296" s="99" t="s">
        <v>4684</v>
      </c>
      <c r="B296" s="18">
        <v>-200000</v>
      </c>
      <c r="C296" s="18">
        <v>0</v>
      </c>
      <c r="D296" s="18">
        <f t="shared" si="18"/>
        <v>-200000</v>
      </c>
      <c r="E296" s="99" t="s">
        <v>4685</v>
      </c>
      <c r="F296" s="99">
        <v>3</v>
      </c>
      <c r="G296" s="36">
        <f t="shared" si="21"/>
        <v>10</v>
      </c>
      <c r="H296" s="99">
        <f t="shared" si="15"/>
        <v>0</v>
      </c>
      <c r="I296" s="99">
        <f t="shared" si="13"/>
        <v>-2000000</v>
      </c>
      <c r="J296" s="99">
        <f t="shared" si="22"/>
        <v>0</v>
      </c>
      <c r="K296" s="99">
        <f t="shared" si="23"/>
        <v>-2000000</v>
      </c>
    </row>
    <row r="297" spans="1:13">
      <c r="A297" s="99" t="s">
        <v>4697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7</v>
      </c>
      <c r="H297" s="99">
        <f t="shared" si="15"/>
        <v>0</v>
      </c>
      <c r="I297" s="99">
        <f t="shared" ref="I297:I312" si="24">B297*(G297-H297)</f>
        <v>-423220</v>
      </c>
      <c r="J297" s="99">
        <f t="shared" ref="J297:J312" si="25">C297*(G297-H297)</f>
        <v>0</v>
      </c>
      <c r="K297" s="99">
        <f t="shared" ref="K297:K312" si="26">D297*(G297-H297)</f>
        <v>-423220</v>
      </c>
    </row>
    <row r="298" spans="1:13">
      <c r="A298" s="99" t="s">
        <v>4703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6</v>
      </c>
      <c r="H298" s="99">
        <f t="shared" si="15"/>
        <v>0</v>
      </c>
      <c r="I298" s="99">
        <f t="shared" si="24"/>
        <v>-360000</v>
      </c>
      <c r="J298" s="99">
        <f t="shared" si="25"/>
        <v>0</v>
      </c>
      <c r="K298" s="99">
        <f t="shared" si="26"/>
        <v>-360000</v>
      </c>
    </row>
    <row r="299" spans="1:13">
      <c r="A299" s="99" t="s">
        <v>4703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6</v>
      </c>
      <c r="H299" s="99">
        <f t="shared" si="15"/>
        <v>1</v>
      </c>
      <c r="I299" s="99">
        <f t="shared" si="24"/>
        <v>12000000</v>
      </c>
      <c r="J299" s="99">
        <f t="shared" si="25"/>
        <v>0</v>
      </c>
      <c r="K299" s="99">
        <f t="shared" si="26"/>
        <v>12000000</v>
      </c>
    </row>
    <row r="300" spans="1:13">
      <c r="A300" s="99" t="s">
        <v>4703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6</v>
      </c>
      <c r="H300" s="99">
        <f t="shared" si="15"/>
        <v>0</v>
      </c>
      <c r="I300" s="99">
        <f t="shared" si="24"/>
        <v>-822978</v>
      </c>
      <c r="J300" s="99">
        <f t="shared" si="25"/>
        <v>0</v>
      </c>
      <c r="K300" s="99">
        <f t="shared" si="26"/>
        <v>-822978</v>
      </c>
      <c r="L300" t="s">
        <v>25</v>
      </c>
      <c r="M300" t="s">
        <v>25</v>
      </c>
    </row>
    <row r="301" spans="1:13">
      <c r="A301" s="99" t="s">
        <v>4703</v>
      </c>
      <c r="B301" s="18">
        <v>-51400</v>
      </c>
      <c r="C301" s="18">
        <v>0</v>
      </c>
      <c r="D301" s="18">
        <f t="shared" si="18"/>
        <v>-51400</v>
      </c>
      <c r="E301" s="99" t="s">
        <v>4710</v>
      </c>
      <c r="F301" s="99">
        <v>1</v>
      </c>
      <c r="G301" s="36">
        <f t="shared" si="27"/>
        <v>6</v>
      </c>
      <c r="H301" s="99">
        <f t="shared" si="15"/>
        <v>0</v>
      </c>
      <c r="I301" s="99">
        <f t="shared" si="24"/>
        <v>-308400</v>
      </c>
      <c r="J301" s="99">
        <f t="shared" si="25"/>
        <v>0</v>
      </c>
      <c r="K301" s="99">
        <f t="shared" si="26"/>
        <v>-308400</v>
      </c>
    </row>
    <row r="302" spans="1:13">
      <c r="A302" s="99" t="s">
        <v>4713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5</v>
      </c>
      <c r="H302" s="99">
        <f t="shared" si="15"/>
        <v>0</v>
      </c>
      <c r="I302" s="99">
        <f t="shared" si="24"/>
        <v>-11250000</v>
      </c>
      <c r="J302" s="99">
        <f t="shared" si="25"/>
        <v>0</v>
      </c>
      <c r="K302" s="99">
        <f t="shared" si="26"/>
        <v>-11250000</v>
      </c>
      <c r="M302" t="s">
        <v>25</v>
      </c>
    </row>
    <row r="303" spans="1:13">
      <c r="A303" s="99" t="s">
        <v>4713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5</v>
      </c>
      <c r="H303" s="99">
        <f t="shared" si="15"/>
        <v>1</v>
      </c>
      <c r="I303" s="99">
        <f t="shared" si="24"/>
        <v>2800000</v>
      </c>
      <c r="J303" s="99">
        <f t="shared" si="25"/>
        <v>0</v>
      </c>
      <c r="K303" s="99">
        <f t="shared" si="26"/>
        <v>2800000</v>
      </c>
    </row>
    <row r="304" spans="1:13">
      <c r="A304" s="99" t="s">
        <v>4748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3</v>
      </c>
      <c r="H304" s="99">
        <f t="shared" si="15"/>
        <v>1</v>
      </c>
      <c r="I304" s="99">
        <f t="shared" si="24"/>
        <v>1140000</v>
      </c>
      <c r="J304" s="99">
        <f t="shared" si="25"/>
        <v>0</v>
      </c>
      <c r="K304" s="99">
        <f t="shared" si="26"/>
        <v>1140000</v>
      </c>
    </row>
    <row r="305" spans="1:13">
      <c r="A305" s="99" t="s">
        <v>4748</v>
      </c>
      <c r="B305" s="18">
        <v>-276773</v>
      </c>
      <c r="C305" s="18">
        <v>0</v>
      </c>
      <c r="D305" s="18">
        <f t="shared" si="18"/>
        <v>-276773</v>
      </c>
      <c r="E305" s="99" t="s">
        <v>4756</v>
      </c>
      <c r="F305" s="99">
        <v>2</v>
      </c>
      <c r="G305" s="36">
        <f t="shared" si="27"/>
        <v>3</v>
      </c>
      <c r="H305" s="99">
        <f t="shared" si="15"/>
        <v>0</v>
      </c>
      <c r="I305" s="99">
        <f t="shared" si="24"/>
        <v>-830319</v>
      </c>
      <c r="J305" s="99">
        <f t="shared" si="25"/>
        <v>0</v>
      </c>
      <c r="K305" s="99">
        <f t="shared" si="26"/>
        <v>-830319</v>
      </c>
    </row>
    <row r="306" spans="1:13">
      <c r="A306" s="99" t="s">
        <v>4757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1</v>
      </c>
      <c r="G306" s="36">
        <f t="shared" si="27"/>
        <v>1</v>
      </c>
      <c r="H306" s="99">
        <f t="shared" si="15"/>
        <v>0</v>
      </c>
      <c r="I306" s="99">
        <f t="shared" si="24"/>
        <v>-114710</v>
      </c>
      <c r="J306" s="99">
        <f t="shared" si="25"/>
        <v>0</v>
      </c>
      <c r="K306" s="99">
        <f t="shared" si="26"/>
        <v>-114710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982822</v>
      </c>
      <c r="C314" s="29">
        <f>SUM(C2:C313)</f>
        <v>0</v>
      </c>
      <c r="D314" s="29">
        <f>SUM(D2:D313)</f>
        <v>982822</v>
      </c>
      <c r="E314" s="11"/>
      <c r="F314" s="11"/>
      <c r="G314" s="11"/>
      <c r="H314" s="11"/>
      <c r="I314" s="29">
        <f>SUM(I2:I313)</f>
        <v>19174643540</v>
      </c>
      <c r="J314" s="29">
        <f>SUM(J2:J313)</f>
        <v>8687685429</v>
      </c>
      <c r="K314" s="29">
        <f>SUM(K2:K313)</f>
        <v>10486958111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18652376.984435797</v>
      </c>
      <c r="J317" s="29">
        <f>J314/G2</f>
        <v>8451055.8647859916</v>
      </c>
      <c r="K317" s="29">
        <f>K314/G2</f>
        <v>10201321.119649805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2179461</v>
      </c>
      <c r="G321" t="s">
        <v>25</v>
      </c>
      <c r="J321">
        <f>J314/I314*1448696</f>
        <v>656378.0496881447</v>
      </c>
      <c r="K321">
        <f>K314/I314*1448696</f>
        <v>792317.9503118553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4612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4667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3"/>
  <sheetViews>
    <sheetView topLeftCell="P134" zoomScaleNormal="100" workbookViewId="0">
      <selection activeCell="N41" sqref="N4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982822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>U20*(1+$N$87+$Q$15*S20/36500)</f>
        <v>213.85098301369862</v>
      </c>
      <c r="W20" s="32">
        <f t="shared" ref="W20:W34" si="6">V20*(1+$W$19/100)</f>
        <v>218.12800267397259</v>
      </c>
      <c r="X20" s="32">
        <f t="shared" ref="X20:X34" si="7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304</v>
      </c>
      <c r="AM20" s="113">
        <f>AJ20*AL20</f>
        <v>5472000000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182253155.66246721</v>
      </c>
      <c r="M21" s="168" t="s">
        <v>4302</v>
      </c>
      <c r="N21" s="113">
        <f>O21*P21</f>
        <v>12357341.600000001</v>
      </c>
      <c r="O21" s="99">
        <v>73207</v>
      </c>
      <c r="P21" s="187">
        <f>P55</f>
        <v>168.8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>U21*(1+$N$87+$Q$15*S21/36500)</f>
        <v>340.79680438356166</v>
      </c>
      <c r="W21" s="32">
        <f t="shared" si="6"/>
        <v>347.61274047123288</v>
      </c>
      <c r="X21" s="32">
        <f t="shared" si="7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8">AL22+AK21</f>
        <v>303</v>
      </c>
      <c r="AM21" s="113">
        <f t="shared" ref="AM21:AM139" si="9">AJ21*AL21</f>
        <v>757500000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0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-2095549</v>
      </c>
      <c r="M22" s="168" t="s">
        <v>4314</v>
      </c>
      <c r="N22" s="113">
        <f>O22*P22</f>
        <v>8194900</v>
      </c>
      <c r="O22" s="99">
        <v>28504</v>
      </c>
      <c r="P22" s="187">
        <f>P52</f>
        <v>287.5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>U22*(1+$N$87+$Q$15*S22/36500)</f>
        <v>341.75032986301375</v>
      </c>
      <c r="W22" s="32">
        <f t="shared" si="6"/>
        <v>348.58533646027405</v>
      </c>
      <c r="X22" s="32">
        <f t="shared" si="7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8"/>
        <v>302</v>
      </c>
      <c r="AM22" s="113">
        <f t="shared" si="9"/>
        <v>2416000000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0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337561.5</v>
      </c>
      <c r="O23" s="99">
        <v>695</v>
      </c>
      <c r="P23" s="187">
        <f>P46</f>
        <v>485.7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>U23*(1+$N$87+$Q$15*S23/36500)</f>
        <v>339.79623013698631</v>
      </c>
      <c r="W23" s="32">
        <f t="shared" si="6"/>
        <v>346.59215473972603</v>
      </c>
      <c r="X23" s="32">
        <f t="shared" si="7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8"/>
        <v>301</v>
      </c>
      <c r="AM23" s="113">
        <f t="shared" si="9"/>
        <v>-23945152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0"/>
        <v>280306345.38193864</v>
      </c>
      <c r="F24" s="3">
        <f>L67</f>
        <v>359737246.66246724</v>
      </c>
      <c r="G24" s="95">
        <f t="shared" si="0"/>
        <v>-79430901.280528605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4160534.4000000004</v>
      </c>
      <c r="O24" s="99">
        <v>828</v>
      </c>
      <c r="P24" s="99">
        <f>P45</f>
        <v>5024.8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>U24*(1+$N$87+$Q$15*S24/36500)</f>
        <v>6234.4778849315071</v>
      </c>
      <c r="W24" s="32">
        <f t="shared" si="6"/>
        <v>6359.167442630137</v>
      </c>
      <c r="X24" s="32">
        <f t="shared" si="7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8"/>
        <v>300</v>
      </c>
      <c r="AM24" s="113">
        <f t="shared" si="9"/>
        <v>49650000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0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>U25*(1+$N$87+$Q$15*S25/36500)</f>
        <v>5846.0520328767125</v>
      </c>
      <c r="W25" s="32">
        <f t="shared" si="6"/>
        <v>5962.9730735342464</v>
      </c>
      <c r="X25" s="32">
        <f t="shared" si="7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8"/>
        <v>288</v>
      </c>
      <c r="AM25" s="113">
        <f t="shared" si="9"/>
        <v>-8303134176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0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>U26*(1+$N$87+$Q$15*S26/36500)</f>
        <v>5712.5561424657535</v>
      </c>
      <c r="W26" s="32">
        <f>V26*(1+$W$19/100)</f>
        <v>5826.8072653150684</v>
      </c>
      <c r="X26" s="32">
        <f t="shared" si="7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8"/>
        <v>282</v>
      </c>
      <c r="AM26" s="113">
        <f t="shared" si="9"/>
        <v>5217000000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0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236165.6</v>
      </c>
      <c r="O27" s="69">
        <v>47</v>
      </c>
      <c r="P27" s="99">
        <f>P45</f>
        <v>5024.8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>U27*(1+$N$87+$Q$15*S27/36500)</f>
        <v>205.26328109589042</v>
      </c>
      <c r="W27" s="32">
        <f t="shared" si="6"/>
        <v>209.36854671780824</v>
      </c>
      <c r="X27" s="32">
        <f t="shared" si="7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8"/>
        <v>281</v>
      </c>
      <c r="AM27" s="113">
        <f t="shared" si="9"/>
        <v>-5212550000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0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339018.6</v>
      </c>
      <c r="O28" s="69">
        <v>698</v>
      </c>
      <c r="P28" s="99">
        <f>P46</f>
        <v>485.7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>U28*(1+$N$87+$Q$15*S28/36500)</f>
        <v>196.72189808219179</v>
      </c>
      <c r="W28" s="32">
        <f t="shared" si="6"/>
        <v>200.65633604383564</v>
      </c>
      <c r="X28" s="32">
        <f t="shared" si="7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8"/>
        <v>280</v>
      </c>
      <c r="AM28" s="113">
        <f t="shared" si="9"/>
        <v>-18189080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0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2926148</v>
      </c>
      <c r="O29" s="69">
        <v>17335</v>
      </c>
      <c r="P29" s="99">
        <f>P55</f>
        <v>168.8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>U29*(1+$N$87+$Q$15*S29/36500)</f>
        <v>174.30873863013699</v>
      </c>
      <c r="W29" s="32">
        <f t="shared" si="6"/>
        <v>177.79491340273972</v>
      </c>
      <c r="X29" s="32">
        <f t="shared" si="7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8"/>
        <v>275</v>
      </c>
      <c r="AM29" s="113">
        <f t="shared" si="9"/>
        <v>1760000000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0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>U30*(1+$N$87+$Q$15*S30/36500)</f>
        <v>173.97163835616439</v>
      </c>
      <c r="W30" s="32">
        <f t="shared" si="6"/>
        <v>177.45107112328768</v>
      </c>
      <c r="X30" s="32">
        <f t="shared" si="7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8"/>
        <v>274</v>
      </c>
      <c r="AM30" s="113">
        <f t="shared" si="9"/>
        <v>-46580000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0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>U31*(1+$N$87+$Q$15*S31/36500)</f>
        <v>167.64732493150686</v>
      </c>
      <c r="W31" s="32">
        <f t="shared" si="6"/>
        <v>171.00027143013699</v>
      </c>
      <c r="X31" s="32">
        <f t="shared" si="7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269</v>
      </c>
      <c r="AM31" s="113">
        <f t="shared" si="9"/>
        <v>-1694700000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0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-S126</f>
        <v>-182253155.66246721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4646</v>
      </c>
      <c r="U32" s="168">
        <v>172.2</v>
      </c>
      <c r="V32" s="168">
        <f>U32*(1+$N$87+$Q$15*S32/36500)</f>
        <v>176.50641534246574</v>
      </c>
      <c r="W32" s="32">
        <f t="shared" si="6"/>
        <v>180.03654364931506</v>
      </c>
      <c r="X32" s="32">
        <f t="shared" si="7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8"/>
        <v>268</v>
      </c>
      <c r="AM32" s="113">
        <f t="shared" si="9"/>
        <v>-13940020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0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4697</v>
      </c>
      <c r="S33" s="199">
        <f>S32-10</f>
        <v>8</v>
      </c>
      <c r="T33" s="168" t="s">
        <v>4698</v>
      </c>
      <c r="U33" s="168">
        <v>5315.5</v>
      </c>
      <c r="V33" s="168">
        <f>U33*(1+$N$87+$Q$15*S33/36500)</f>
        <v>5407.654750684932</v>
      </c>
      <c r="W33" s="32">
        <f t="shared" si="6"/>
        <v>5515.8078456986304</v>
      </c>
      <c r="X33" s="32">
        <f t="shared" si="7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8"/>
        <v>252</v>
      </c>
      <c r="AM33" s="113">
        <f t="shared" si="9"/>
        <v>5044384800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0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4759</v>
      </c>
      <c r="S34" s="199">
        <f>S33-7</f>
        <v>1</v>
      </c>
      <c r="T34" s="219" t="s">
        <v>4760</v>
      </c>
      <c r="U34" s="219">
        <v>502.3</v>
      </c>
      <c r="V34" s="219">
        <f>U34*(1+$N$87+$Q$15*S34/36500)</f>
        <v>508.31108602739727</v>
      </c>
      <c r="W34" s="32">
        <f t="shared" si="6"/>
        <v>518.47730774794525</v>
      </c>
      <c r="X34" s="32">
        <f t="shared" si="7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8"/>
        <v>252</v>
      </c>
      <c r="AM34" s="113">
        <f t="shared" si="9"/>
        <v>255645432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0"/>
        <v>358188786.24271059</v>
      </c>
      <c r="F35" s="3"/>
      <c r="G35" s="11"/>
      <c r="H35" s="11"/>
      <c r="K35" s="168" t="s">
        <v>4750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8"/>
        <v>240</v>
      </c>
      <c r="AM35" s="113">
        <f t="shared" si="9"/>
        <v>86400000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0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-2582039.5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8"/>
        <v>238</v>
      </c>
      <c r="AM36" s="113">
        <f t="shared" si="9"/>
        <v>-83300000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0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4749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8"/>
        <v>238</v>
      </c>
      <c r="AM37" s="113">
        <f t="shared" si="9"/>
        <v>238000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0"/>
        <v>382721938.80352634</v>
      </c>
      <c r="F38" s="3"/>
      <c r="G38" s="11"/>
      <c r="H38" s="11"/>
      <c r="K38" s="168"/>
      <c r="L38" s="117"/>
      <c r="M38" s="168" t="s">
        <v>4695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8"/>
        <v>237</v>
      </c>
      <c r="AM38" s="113">
        <f t="shared" si="9"/>
        <v>7965570000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0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8"/>
        <v>233</v>
      </c>
      <c r="AM39" s="113">
        <f t="shared" si="9"/>
        <v>-3634800000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0"/>
        <v>399949534.64670491</v>
      </c>
      <c r="F40" s="3"/>
      <c r="G40" s="11"/>
      <c r="H40" s="11"/>
      <c r="K40" s="99" t="s">
        <v>4629</v>
      </c>
      <c r="L40" s="117">
        <v>2000000</v>
      </c>
      <c r="M40" s="168" t="s">
        <v>4466</v>
      </c>
      <c r="N40" s="113">
        <v>83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8"/>
        <v>230</v>
      </c>
      <c r="AM40" s="113">
        <f t="shared" si="9"/>
        <v>1725000000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0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8"/>
        <v>226</v>
      </c>
      <c r="AM41" s="113">
        <f t="shared" si="9"/>
        <v>-22148000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0"/>
        <v>417908614.51520973</v>
      </c>
      <c r="F42" s="3"/>
      <c r="G42" s="11"/>
      <c r="H42" s="11"/>
      <c r="K42" s="56"/>
      <c r="L42" s="117"/>
      <c r="M42" s="209" t="s">
        <v>4397</v>
      </c>
      <c r="N42" s="113">
        <f t="shared" ref="N42" si="11">O42*P42</f>
        <v>40071342.5</v>
      </c>
      <c r="O42" s="99">
        <v>12775</v>
      </c>
      <c r="P42" s="99">
        <v>3136.7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>U42*(1+$N$87+$Q$15*S42/36500)</f>
        <v>196.72189808219179</v>
      </c>
      <c r="W42" s="32">
        <f t="shared" ref="W42:W49" si="12">V42*(1+$W$19/100)</f>
        <v>200.65633604383564</v>
      </c>
      <c r="X42" s="32">
        <f t="shared" ref="X42:X49" si="13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8"/>
        <v>225</v>
      </c>
      <c r="AM42" s="113">
        <f t="shared" si="9"/>
        <v>-5850000000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0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6" si="14">O43*P43</f>
        <v>666200</v>
      </c>
      <c r="O43" s="69">
        <v>2000</v>
      </c>
      <c r="P43" s="69">
        <v>333.1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>U43*(1+$N$87+$Q$15*S43/36500)</f>
        <v>176.85021369863017</v>
      </c>
      <c r="W43" s="32">
        <f t="shared" si="12"/>
        <v>180.38721797260277</v>
      </c>
      <c r="X43" s="32">
        <f t="shared" si="13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8"/>
        <v>225</v>
      </c>
      <c r="AM43" s="113">
        <f t="shared" si="9"/>
        <v>5625000000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0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4"/>
        <v>1110300</v>
      </c>
      <c r="O44" s="69">
        <v>1000</v>
      </c>
      <c r="P44" s="69">
        <v>1110.3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>U44*(1+$N$87+$Q$15*S44/36500)</f>
        <v>174.83313315068492</v>
      </c>
      <c r="W44" s="32">
        <f t="shared" si="12"/>
        <v>178.32979581369861</v>
      </c>
      <c r="X44" s="32">
        <f t="shared" si="13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8"/>
        <v>224</v>
      </c>
      <c r="AM44" s="113">
        <f t="shared" si="9"/>
        <v>24640000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0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4"/>
        <v>106023280</v>
      </c>
      <c r="O45" s="69">
        <v>21100</v>
      </c>
      <c r="P45" s="69">
        <v>5024.8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>U45*(1+$N$87+$Q$15*S45/36500)</f>
        <v>174.60045150684934</v>
      </c>
      <c r="W45" s="32">
        <f t="shared" si="12"/>
        <v>178.09246053698632</v>
      </c>
      <c r="X45" s="32">
        <f t="shared" si="13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8"/>
        <v>223</v>
      </c>
      <c r="AM45" s="113">
        <f t="shared" si="9"/>
        <v>84740000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0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4"/>
        <v>45769939.5</v>
      </c>
      <c r="O46" s="69">
        <v>94235</v>
      </c>
      <c r="P46" s="69">
        <v>485.7</v>
      </c>
      <c r="Q46" s="169">
        <v>168846</v>
      </c>
      <c r="R46" s="168" t="s">
        <v>3692</v>
      </c>
      <c r="S46" s="199">
        <f>S45-30</f>
        <v>18</v>
      </c>
      <c r="T46" s="191" t="s">
        <v>4646</v>
      </c>
      <c r="U46" s="168">
        <v>172.2</v>
      </c>
      <c r="V46" s="168">
        <f>U46*(1+$N$87+$Q$15*S46/36500)</f>
        <v>176.50641534246574</v>
      </c>
      <c r="W46" s="32">
        <f t="shared" si="12"/>
        <v>180.03654364931506</v>
      </c>
      <c r="X46" s="32">
        <f t="shared" si="13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8"/>
        <v>216</v>
      </c>
      <c r="AM46" s="113">
        <f t="shared" si="9"/>
        <v>97200000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0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4"/>
        <v>2669152</v>
      </c>
      <c r="O47" s="69">
        <v>698</v>
      </c>
      <c r="P47" s="69">
        <v>3824</v>
      </c>
      <c r="Q47" s="169">
        <v>250962</v>
      </c>
      <c r="R47" s="168" t="s">
        <v>4697</v>
      </c>
      <c r="S47" s="199">
        <f>S46-10</f>
        <v>8</v>
      </c>
      <c r="T47" s="191" t="s">
        <v>4698</v>
      </c>
      <c r="U47" s="168">
        <v>5315.5</v>
      </c>
      <c r="V47" s="168">
        <f>U47*(1+$N$87+$Q$15*S47/36500)</f>
        <v>5407.654750684932</v>
      </c>
      <c r="W47" s="32">
        <f t="shared" si="12"/>
        <v>5515.8078456986304</v>
      </c>
      <c r="X47" s="32">
        <f t="shared" si="13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8"/>
        <v>210</v>
      </c>
      <c r="AM47" s="113">
        <f t="shared" si="9"/>
        <v>588000000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0"/>
        <v>476483646.68171477</v>
      </c>
      <c r="F48" s="3"/>
      <c r="G48" s="11"/>
      <c r="H48" s="11" t="s">
        <v>611</v>
      </c>
      <c r="K48" s="99"/>
      <c r="L48" s="117"/>
      <c r="M48" s="21" t="s">
        <v>4580</v>
      </c>
      <c r="N48" s="117">
        <f t="shared" si="14"/>
        <v>95485.9</v>
      </c>
      <c r="O48" s="69">
        <v>197</v>
      </c>
      <c r="P48" s="69">
        <v>484.7</v>
      </c>
      <c r="Q48" s="169">
        <v>352231</v>
      </c>
      <c r="R48" s="219" t="s">
        <v>4759</v>
      </c>
      <c r="S48" s="199">
        <f>S47-7</f>
        <v>1</v>
      </c>
      <c r="T48" s="191" t="s">
        <v>4761</v>
      </c>
      <c r="U48" s="219">
        <v>502.3</v>
      </c>
      <c r="V48" s="219">
        <f>U48*(1+$N$87+$Q$15*S48/36500)</f>
        <v>508.31108602739727</v>
      </c>
      <c r="W48" s="32">
        <f t="shared" si="12"/>
        <v>518.47730774794525</v>
      </c>
      <c r="X48" s="32">
        <f t="shared" si="13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8"/>
        <v>209</v>
      </c>
      <c r="AM48" s="113">
        <f t="shared" si="9"/>
        <v>-313500000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0"/>
        <v>486974084.8508752</v>
      </c>
      <c r="F49" s="3"/>
      <c r="G49" s="11"/>
      <c r="H49" s="11"/>
      <c r="K49" s="99" t="s">
        <v>25</v>
      </c>
      <c r="L49" s="117"/>
      <c r="M49" s="21" t="s">
        <v>4551</v>
      </c>
      <c r="N49" s="117">
        <f t="shared" si="14"/>
        <v>13943298</v>
      </c>
      <c r="O49" s="69">
        <v>3065</v>
      </c>
      <c r="P49" s="69">
        <v>4549.2</v>
      </c>
      <c r="Q49" s="169"/>
      <c r="R49" s="168"/>
      <c r="S49" s="113"/>
      <c r="T49" s="113"/>
      <c r="U49" s="168"/>
      <c r="V49" s="168">
        <f>U49*(1+$N$87+$Q$15*S49/36500)</f>
        <v>0</v>
      </c>
      <c r="W49" s="32">
        <f t="shared" si="12"/>
        <v>0</v>
      </c>
      <c r="X49" s="32">
        <f t="shared" si="13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209</v>
      </c>
      <c r="AM49" s="113">
        <f t="shared" si="9"/>
        <v>637450000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0"/>
        <v>497683939.43577409</v>
      </c>
      <c r="F50" s="51"/>
      <c r="G50" s="11"/>
      <c r="H50" s="11"/>
      <c r="K50" s="99"/>
      <c r="L50" s="117"/>
      <c r="M50" s="21" t="s">
        <v>4657</v>
      </c>
      <c r="N50" s="117">
        <f t="shared" si="14"/>
        <v>946737</v>
      </c>
      <c r="O50" s="69">
        <v>2190</v>
      </c>
      <c r="P50" s="69">
        <v>432.3</v>
      </c>
      <c r="Q50" s="113">
        <f>SUM(N27:N29)-SUM(Q41:Q49)</f>
        <v>-111221.79999999981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8"/>
        <v>206</v>
      </c>
      <c r="AM50" s="113">
        <f t="shared" si="9"/>
        <v>-1709720072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0"/>
        <v>508617694.84124976</v>
      </c>
      <c r="F51" s="3"/>
      <c r="G51" s="11"/>
      <c r="H51" s="11"/>
      <c r="K51" s="99" t="s">
        <v>25</v>
      </c>
      <c r="L51" s="117"/>
      <c r="M51" s="21" t="s">
        <v>4638</v>
      </c>
      <c r="N51" s="117">
        <f t="shared" si="14"/>
        <v>3461880</v>
      </c>
      <c r="O51" s="69">
        <v>5100</v>
      </c>
      <c r="P51" s="69">
        <v>678.8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8"/>
        <v>204</v>
      </c>
      <c r="AM51" s="113">
        <f t="shared" si="9"/>
        <v>1020000000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0"/>
        <v>519779926.12100261</v>
      </c>
      <c r="F52" s="3"/>
      <c r="G52" s="11"/>
      <c r="H52" s="11"/>
      <c r="K52" s="99"/>
      <c r="L52" s="117"/>
      <c r="M52" s="19" t="s">
        <v>4297</v>
      </c>
      <c r="N52" s="113">
        <f t="shared" si="14"/>
        <v>431250</v>
      </c>
      <c r="O52" s="69">
        <v>1500</v>
      </c>
      <c r="P52" s="69">
        <v>287.5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8"/>
        <v>190</v>
      </c>
      <c r="AM52" s="113">
        <f t="shared" si="9"/>
        <v>-17100000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0"/>
        <v>531175300.80017978</v>
      </c>
      <c r="F53" s="3"/>
      <c r="G53" s="11"/>
      <c r="H53" s="11"/>
      <c r="K53" s="99"/>
      <c r="L53" s="117"/>
      <c r="M53" s="19" t="s">
        <v>4609</v>
      </c>
      <c r="N53" s="113">
        <f t="shared" si="14"/>
        <v>204344</v>
      </c>
      <c r="O53" s="69">
        <v>1148</v>
      </c>
      <c r="P53" s="69">
        <v>178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8"/>
        <v>189</v>
      </c>
      <c r="AM53" s="113">
        <f t="shared" si="9"/>
        <v>1058400000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0"/>
        <v>542808580.73450804</v>
      </c>
      <c r="F54" s="3"/>
      <c r="G54" s="11"/>
      <c r="H54" s="11"/>
      <c r="K54" s="99"/>
      <c r="L54" s="117"/>
      <c r="M54" s="21" t="s">
        <v>4658</v>
      </c>
      <c r="N54" s="117">
        <f t="shared" si="14"/>
        <v>1108800</v>
      </c>
      <c r="O54" s="69">
        <v>5500</v>
      </c>
      <c r="P54" s="69">
        <v>201.6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8"/>
        <v>185</v>
      </c>
      <c r="AM54" s="113">
        <f t="shared" si="9"/>
        <v>138750000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0"/>
        <v>554684624.00670612</v>
      </c>
      <c r="F55" s="3"/>
      <c r="G55" s="11"/>
      <c r="H55" s="11"/>
      <c r="K55" s="56"/>
      <c r="L55" s="117"/>
      <c r="M55" s="19" t="s">
        <v>4180</v>
      </c>
      <c r="N55" s="113">
        <f t="shared" si="14"/>
        <v>213250948</v>
      </c>
      <c r="O55" s="99">
        <v>1263335</v>
      </c>
      <c r="P55" s="99">
        <v>168.8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8"/>
        <v>183</v>
      </c>
      <c r="AM55" s="170">
        <f t="shared" si="9"/>
        <v>-776286000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0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4"/>
        <v>12795000</v>
      </c>
      <c r="O56" s="69">
        <v>30</v>
      </c>
      <c r="P56" s="69">
        <v>426500</v>
      </c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8"/>
        <v>181</v>
      </c>
      <c r="AM56" s="113">
        <f t="shared" si="9"/>
        <v>742100000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0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8"/>
        <v>181</v>
      </c>
      <c r="AM57" s="113">
        <f t="shared" si="9"/>
        <v>742100000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0"/>
        <v>591819398.97808707</v>
      </c>
      <c r="F58" s="3"/>
      <c r="G58" s="11"/>
      <c r="H58" s="11"/>
      <c r="K58" s="99"/>
      <c r="L58" s="117"/>
      <c r="M58" s="168" t="s">
        <v>1153</v>
      </c>
      <c r="N58" s="117">
        <v>14908</v>
      </c>
      <c r="O58" s="96" t="s">
        <v>25</v>
      </c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>U58*(1+$N$87+$Q$15*S58/36500)</f>
        <v>213.73966027397262</v>
      </c>
      <c r="W58" s="32">
        <f t="shared" ref="W58:W83" si="15">V58*(1+$W$19/100)</f>
        <v>218.01445347945207</v>
      </c>
      <c r="X58" s="32">
        <f t="shared" ref="X58:X83" si="16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8"/>
        <v>180</v>
      </c>
      <c r="AM58" s="113">
        <f t="shared" si="9"/>
        <v>142200000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0"/>
        <v>604717069.49413705</v>
      </c>
      <c r="F59" s="3"/>
      <c r="G59" s="11"/>
      <c r="H59" s="11"/>
      <c r="K59" s="99"/>
      <c r="L59" s="99"/>
      <c r="M59" s="168" t="s">
        <v>1154</v>
      </c>
      <c r="N59" s="117">
        <v>5282</v>
      </c>
      <c r="O59" s="96"/>
      <c r="P59" t="s">
        <v>25</v>
      </c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>U59*(1+$N$87+$Q$15*S59/36500)</f>
        <v>233.76255167123287</v>
      </c>
      <c r="W59" s="32">
        <f t="shared" si="15"/>
        <v>238.43780270465754</v>
      </c>
      <c r="X59" s="32">
        <f t="shared" si="16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8"/>
        <v>165</v>
      </c>
      <c r="AM59" s="172">
        <f t="shared" si="9"/>
        <v>-637725000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0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>U60*(1+$N$87+$Q$15*S60/36500)</f>
        <v>223.55249972602743</v>
      </c>
      <c r="W60" s="32">
        <f t="shared" si="15"/>
        <v>228.02354972054798</v>
      </c>
      <c r="X60" s="32">
        <f t="shared" si="16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8"/>
        <v>159</v>
      </c>
      <c r="AM60" s="113">
        <f t="shared" si="9"/>
        <v>2989200000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0"/>
        <v>631323586.68626177</v>
      </c>
      <c r="F61" s="3"/>
      <c r="G61" s="11"/>
      <c r="H61" s="11"/>
      <c r="K61" s="168" t="s">
        <v>25</v>
      </c>
      <c r="L61" s="117"/>
      <c r="M61" s="168" t="s">
        <v>4181</v>
      </c>
      <c r="N61" s="113">
        <f>-O61*P61</f>
        <v>-13972082.4</v>
      </c>
      <c r="O61" s="99">
        <v>82773</v>
      </c>
      <c r="P61" s="99">
        <f>P55</f>
        <v>168.8</v>
      </c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>U61*(1+$N$87+$Q$15*S61/36500)</f>
        <v>219.32266082191782</v>
      </c>
      <c r="W61" s="32">
        <f t="shared" si="15"/>
        <v>223.70911403835618</v>
      </c>
      <c r="X61" s="32">
        <f t="shared" si="16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8"/>
        <v>156</v>
      </c>
      <c r="AM61" s="113">
        <f t="shared" si="9"/>
        <v>78000000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0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>U62*(1+$N$87+$Q$15*S62/36500)</f>
        <v>218.46215013698631</v>
      </c>
      <c r="W62" s="32">
        <f t="shared" si="15"/>
        <v>222.83139313972603</v>
      </c>
      <c r="X62" s="32">
        <f t="shared" si="16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155</v>
      </c>
      <c r="AM62" s="113">
        <f t="shared" si="9"/>
        <v>31000000</v>
      </c>
      <c r="AN62" s="20"/>
    </row>
    <row r="63" spans="1:40">
      <c r="E63" s="26"/>
      <c r="K63" s="168"/>
      <c r="L63" s="117"/>
      <c r="M63" s="168"/>
      <c r="N63" s="113"/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>U63*(1+$N$87+$Q$15*S63/36500)</f>
        <v>4224.2439452054805</v>
      </c>
      <c r="W63" s="32">
        <f t="shared" si="15"/>
        <v>4308.7288241095903</v>
      </c>
      <c r="X63" s="32">
        <f t="shared" si="16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8"/>
        <v>152</v>
      </c>
      <c r="AM63" s="113">
        <f t="shared" si="9"/>
        <v>152000000</v>
      </c>
      <c r="AN63" s="20"/>
    </row>
    <row r="64" spans="1:40">
      <c r="E64" s="26"/>
      <c r="K64" s="168"/>
      <c r="L64" s="117"/>
      <c r="M64" s="168" t="s">
        <v>4453</v>
      </c>
      <c r="N64" s="113">
        <f>-S127</f>
        <v>-13801217.516732134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>U64*(1+$N$87+$Q$15*S64/36500)</f>
        <v>216.92140493150686</v>
      </c>
      <c r="W64" s="32">
        <f t="shared" si="15"/>
        <v>221.259833030137</v>
      </c>
      <c r="X64" s="32">
        <f t="shared" si="16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149</v>
      </c>
      <c r="AM64" s="113">
        <f t="shared" si="9"/>
        <v>193700000</v>
      </c>
      <c r="AN64" s="20"/>
    </row>
    <row r="65" spans="1:40">
      <c r="K65" s="168"/>
      <c r="L65" s="117"/>
      <c r="M65" s="168"/>
      <c r="N65" s="113"/>
      <c r="P65" t="s">
        <v>25</v>
      </c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>U65*(1+$N$87+$Q$15*S65/36500)</f>
        <v>5955.2793380821931</v>
      </c>
      <c r="W65" s="32">
        <f t="shared" si="15"/>
        <v>6074.3849248438373</v>
      </c>
      <c r="X65" s="32">
        <f t="shared" si="16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7">AL66+AK65</f>
        <v>149</v>
      </c>
      <c r="AM65" s="113">
        <f t="shared" si="9"/>
        <v>148255000</v>
      </c>
      <c r="AN65" s="20"/>
    </row>
    <row r="66" spans="1:40">
      <c r="K66" s="168"/>
      <c r="L66" s="117"/>
      <c r="M66" s="168"/>
      <c r="N66" s="113"/>
      <c r="Q66" s="35">
        <v>444</v>
      </c>
      <c r="R66" s="5" t="s">
        <v>4410</v>
      </c>
      <c r="S66" s="5">
        <f>S65</f>
        <v>78</v>
      </c>
      <c r="T66" s="5" t="s">
        <v>4635</v>
      </c>
      <c r="U66" s="168">
        <v>441.8</v>
      </c>
      <c r="V66" s="99">
        <f>U66*(1+$N$87+$Q$15*S66/36500)</f>
        <v>473.18353534246586</v>
      </c>
      <c r="W66" s="32">
        <f t="shared" si="15"/>
        <v>482.64720604931517</v>
      </c>
      <c r="X66" s="32">
        <f t="shared" si="16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7"/>
        <v>147</v>
      </c>
      <c r="AM66" s="113">
        <f t="shared" si="9"/>
        <v>1911000000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598</v>
      </c>
      <c r="L67" s="113">
        <f>SUM(L16:L52)</f>
        <v>359737246.66246724</v>
      </c>
      <c r="M67" s="168"/>
      <c r="N67" s="113">
        <f>SUM(N16:N63)</f>
        <v>431227412.53753281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>U67*(1+$N$87+$Q$15*S67/36500)</f>
        <v>209.98667835616436</v>
      </c>
      <c r="W67" s="32">
        <f t="shared" si="15"/>
        <v>214.18641192328766</v>
      </c>
      <c r="X67" s="32">
        <f t="shared" si="16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7"/>
        <v>145</v>
      </c>
      <c r="AM67" s="113">
        <f t="shared" si="9"/>
        <v>-449500000</v>
      </c>
      <c r="AN67" s="20"/>
    </row>
    <row r="68" spans="1:40">
      <c r="F68" t="s">
        <v>4104</v>
      </c>
      <c r="G68" t="s">
        <v>4099</v>
      </c>
      <c r="K68" s="168" t="s">
        <v>599</v>
      </c>
      <c r="L68" s="113">
        <f>L16+L17+L24</f>
        <v>679640</v>
      </c>
      <c r="M68" s="168"/>
      <c r="N68" s="113">
        <f>N16+N17+N33</f>
        <v>1596127</v>
      </c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>U68*(1+$N$87+$Q$15*S68/36500)</f>
        <v>196.61533150684934</v>
      </c>
      <c r="W68" s="32">
        <f t="shared" si="15"/>
        <v>200.54763813698634</v>
      </c>
      <c r="X68" s="32">
        <f t="shared" si="16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7"/>
        <v>142</v>
      </c>
      <c r="AM68" s="113">
        <f t="shared" si="9"/>
        <v>6480880000</v>
      </c>
      <c r="AN68" s="20"/>
    </row>
    <row r="69" spans="1:40">
      <c r="F69" t="s">
        <v>4105</v>
      </c>
      <c r="G69" t="s">
        <v>4101</v>
      </c>
      <c r="K69" s="56" t="s">
        <v>716</v>
      </c>
      <c r="L69" s="1">
        <f>L67+N7</f>
        <v>429737246.66246724</v>
      </c>
      <c r="M69" s="113"/>
      <c r="N69" s="168"/>
      <c r="O69" s="115"/>
      <c r="P69" s="115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>U69*(1+$N$87+$Q$15*S69/36500)</f>
        <v>188.88334246575343</v>
      </c>
      <c r="W69" s="32">
        <f t="shared" si="15"/>
        <v>192.6610093150685</v>
      </c>
      <c r="X69" s="32">
        <f t="shared" si="16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7"/>
        <v>141</v>
      </c>
      <c r="AM69" s="113">
        <f t="shared" si="9"/>
        <v>4723500000</v>
      </c>
      <c r="AN69" s="20"/>
    </row>
    <row r="70" spans="1:40">
      <c r="G70" t="s">
        <v>4102</v>
      </c>
      <c r="O70" s="96"/>
      <c r="P70" s="96"/>
      <c r="Q70" s="35">
        <v>1662335</v>
      </c>
      <c r="R70" s="5" t="s">
        <v>4451</v>
      </c>
      <c r="S70" s="5">
        <f>S69-5</f>
        <v>64</v>
      </c>
      <c r="T70" s="225" t="s">
        <v>4616</v>
      </c>
      <c r="U70" s="168">
        <v>190.3</v>
      </c>
      <c r="V70" s="99">
        <f>U70*(1+$N$87+$Q$15*S70/36500)</f>
        <v>201.77430794520549</v>
      </c>
      <c r="W70" s="32">
        <f t="shared" si="15"/>
        <v>205.80979410410961</v>
      </c>
      <c r="X70" s="32">
        <f t="shared" si="16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7"/>
        <v>140</v>
      </c>
      <c r="AM70" s="117">
        <f t="shared" si="9"/>
        <v>1680000000</v>
      </c>
      <c r="AN70" s="20"/>
    </row>
    <row r="71" spans="1:40">
      <c r="G71" t="s">
        <v>4103</v>
      </c>
      <c r="M71" s="25"/>
      <c r="O71" t="s">
        <v>25</v>
      </c>
      <c r="Q71" s="169">
        <v>159753</v>
      </c>
      <c r="R71" s="168" t="s">
        <v>4578</v>
      </c>
      <c r="S71" s="168">
        <f>S70-25</f>
        <v>39</v>
      </c>
      <c r="T71" s="73" t="s">
        <v>4594</v>
      </c>
      <c r="U71" s="168">
        <v>286</v>
      </c>
      <c r="V71" s="99">
        <f>U71*(1+$N$87+$Q$15*S71/36500)</f>
        <v>297.75969315068494</v>
      </c>
      <c r="W71" s="32">
        <f t="shared" si="15"/>
        <v>303.71488701369861</v>
      </c>
      <c r="X71" s="32">
        <f t="shared" si="16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7"/>
        <v>139</v>
      </c>
      <c r="AM71" s="117">
        <f t="shared" si="9"/>
        <v>2154500000</v>
      </c>
      <c r="AN71" s="20"/>
    </row>
    <row r="72" spans="1:40">
      <c r="G72" t="s">
        <v>4107</v>
      </c>
      <c r="M72" s="25" t="s">
        <v>4081</v>
      </c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4595</v>
      </c>
      <c r="U72" s="168">
        <v>287</v>
      </c>
      <c r="V72" s="99">
        <f>U72*(1+$N$87+$Q$15*S72/36500)</f>
        <v>298.14031780821921</v>
      </c>
      <c r="W72" s="32">
        <f t="shared" si="15"/>
        <v>304.10312416438359</v>
      </c>
      <c r="X72" s="32">
        <f t="shared" si="16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7"/>
        <v>135</v>
      </c>
      <c r="AM72" s="117">
        <f t="shared" si="9"/>
        <v>20250000</v>
      </c>
      <c r="AN72" s="20"/>
    </row>
    <row r="73" spans="1:40">
      <c r="G73" t="s">
        <v>4106</v>
      </c>
      <c r="M73" s="177"/>
      <c r="O73" s="115"/>
      <c r="P73" s="115"/>
      <c r="Q73" s="169">
        <v>100530</v>
      </c>
      <c r="R73" s="168" t="s">
        <v>4579</v>
      </c>
      <c r="S73" s="168">
        <f>S72</f>
        <v>36</v>
      </c>
      <c r="T73" s="73" t="s">
        <v>4596</v>
      </c>
      <c r="U73" s="168">
        <v>508</v>
      </c>
      <c r="V73" s="99">
        <f>U73*(1+$N$87+$Q$15*S73/36500)</f>
        <v>527.71875068493159</v>
      </c>
      <c r="W73" s="32">
        <f t="shared" si="15"/>
        <v>538.27312569863022</v>
      </c>
      <c r="X73" s="32">
        <f t="shared" si="16"/>
        <v>548.82750071232886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17"/>
        <v>134</v>
      </c>
      <c r="AM73" s="181">
        <f t="shared" si="9"/>
        <v>3886000000</v>
      </c>
      <c r="AN73" s="180" t="s">
        <v>4187</v>
      </c>
    </row>
    <row r="74" spans="1:40">
      <c r="M74" s="96" t="s">
        <v>4719</v>
      </c>
      <c r="Q74" s="169">
        <v>499973</v>
      </c>
      <c r="R74" s="168" t="s">
        <v>4606</v>
      </c>
      <c r="S74" s="168">
        <f>S73-9</f>
        <v>27</v>
      </c>
      <c r="T74" s="73" t="s">
        <v>4607</v>
      </c>
      <c r="U74" s="168">
        <v>413</v>
      </c>
      <c r="V74" s="99">
        <f>U74*(1+$N$87+$Q$15*S74/36500)</f>
        <v>426.17979178082197</v>
      </c>
      <c r="W74" s="32">
        <f t="shared" si="15"/>
        <v>434.70338761643842</v>
      </c>
      <c r="X74" s="32">
        <f t="shared" si="16"/>
        <v>443.22698345205487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7"/>
        <v>119</v>
      </c>
      <c r="AM74" s="117">
        <f t="shared" si="9"/>
        <v>-15470000</v>
      </c>
      <c r="AN74" s="20" t="s">
        <v>4213</v>
      </c>
    </row>
    <row r="75" spans="1:40">
      <c r="M75" s="122" t="s">
        <v>4417</v>
      </c>
      <c r="O75" s="114"/>
      <c r="Q75" s="169">
        <v>11869317</v>
      </c>
      <c r="R75" s="168" t="s">
        <v>4617</v>
      </c>
      <c r="S75" s="168">
        <f>S74-2</f>
        <v>25</v>
      </c>
      <c r="T75" s="168" t="s">
        <v>4618</v>
      </c>
      <c r="U75" s="168">
        <v>395600</v>
      </c>
      <c r="V75" s="99">
        <f>U75*(1+$N$87+$Q$15*S75/36500)</f>
        <v>407617.56931506854</v>
      </c>
      <c r="W75" s="32">
        <f t="shared" si="15"/>
        <v>415769.92070136993</v>
      </c>
      <c r="X75" s="32">
        <f t="shared" si="16"/>
        <v>423922.27208767127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7"/>
        <v>112</v>
      </c>
      <c r="AM75" s="117">
        <f>AJ75*AL75</f>
        <v>25984000</v>
      </c>
      <c r="AN75" s="20" t="s">
        <v>4261</v>
      </c>
    </row>
    <row r="76" spans="1:40">
      <c r="D76" s="3"/>
      <c r="E76" s="11" t="s">
        <v>304</v>
      </c>
      <c r="M76" s="122" t="s">
        <v>4519</v>
      </c>
      <c r="N76" s="96"/>
      <c r="Q76" s="35">
        <v>2272487</v>
      </c>
      <c r="R76" s="5" t="s">
        <v>4627</v>
      </c>
      <c r="S76" s="5">
        <f>S75-3</f>
        <v>22</v>
      </c>
      <c r="T76" s="5" t="s">
        <v>4628</v>
      </c>
      <c r="U76" s="168">
        <v>174.9</v>
      </c>
      <c r="V76" s="99">
        <f>U76*(1+$N$87+$Q$15*S76/36500)</f>
        <v>179.8106169863014</v>
      </c>
      <c r="W76" s="32">
        <f t="shared" si="15"/>
        <v>183.40682932602743</v>
      </c>
      <c r="X76" s="32">
        <f t="shared" si="16"/>
        <v>187.00304166575347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7"/>
        <v>110</v>
      </c>
      <c r="AM76" s="117">
        <f t="shared" si="9"/>
        <v>-18700000</v>
      </c>
      <c r="AN76" s="20"/>
    </row>
    <row r="77" spans="1:40">
      <c r="D77" s="1" t="s">
        <v>305</v>
      </c>
      <c r="E77" s="1">
        <v>70000</v>
      </c>
      <c r="M77" s="122" t="s">
        <v>4598</v>
      </c>
      <c r="N77" s="96"/>
      <c r="P77" t="s">
        <v>25</v>
      </c>
      <c r="Q77" s="35">
        <v>3975257</v>
      </c>
      <c r="R77" s="5" t="s">
        <v>4633</v>
      </c>
      <c r="S77" s="5">
        <f>S76-1</f>
        <v>21</v>
      </c>
      <c r="T77" s="5" t="s">
        <v>4634</v>
      </c>
      <c r="U77" s="168">
        <v>173</v>
      </c>
      <c r="V77" s="99">
        <f>U77*(1+$N$87+$Q$15*S77/36500)</f>
        <v>177.72455890410959</v>
      </c>
      <c r="W77" s="32">
        <f t="shared" si="15"/>
        <v>181.27905008219179</v>
      </c>
      <c r="X77" s="32">
        <f t="shared" si="16"/>
        <v>184.83354126027399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7"/>
        <v>107</v>
      </c>
      <c r="AM77" s="117">
        <f t="shared" si="9"/>
        <v>-32100000</v>
      </c>
      <c r="AN77" s="20"/>
    </row>
    <row r="78" spans="1:40" ht="30">
      <c r="D78" s="1" t="s">
        <v>321</v>
      </c>
      <c r="E78" s="1">
        <v>100000</v>
      </c>
      <c r="K78" s="218" t="s">
        <v>4751</v>
      </c>
      <c r="L78" s="22" t="s">
        <v>4674</v>
      </c>
      <c r="M78" s="211" t="s">
        <v>4720</v>
      </c>
      <c r="N78" s="96"/>
      <c r="P78" s="115"/>
      <c r="Q78" s="35">
        <v>1031662</v>
      </c>
      <c r="R78" s="5" t="s">
        <v>4235</v>
      </c>
      <c r="S78" s="5">
        <f>S77-1</f>
        <v>20</v>
      </c>
      <c r="T78" s="5" t="s">
        <v>4637</v>
      </c>
      <c r="U78" s="168">
        <v>171.2</v>
      </c>
      <c r="V78" s="99">
        <f>U78*(1+$N$87+$Q$15*S78/36500)</f>
        <v>175.74407013698632</v>
      </c>
      <c r="W78" s="32">
        <f t="shared" si="15"/>
        <v>179.25895153972604</v>
      </c>
      <c r="X78" s="32">
        <f t="shared" si="16"/>
        <v>182.77383294246579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104</v>
      </c>
      <c r="AM78" s="117">
        <f t="shared" si="9"/>
        <v>-1185600000</v>
      </c>
      <c r="AN78" s="20"/>
    </row>
    <row r="79" spans="1:40">
      <c r="D79" s="1" t="s">
        <v>306</v>
      </c>
      <c r="E79" s="1">
        <v>80000</v>
      </c>
      <c r="M79" s="122" t="s">
        <v>4518</v>
      </c>
      <c r="N79" s="96"/>
      <c r="P79" s="115" t="s">
        <v>25</v>
      </c>
      <c r="Q79" s="169">
        <v>2666019</v>
      </c>
      <c r="R79" s="168" t="s">
        <v>4235</v>
      </c>
      <c r="S79" s="168">
        <f>S78</f>
        <v>20</v>
      </c>
      <c r="T79" s="168" t="s">
        <v>4639</v>
      </c>
      <c r="U79" s="168">
        <v>749</v>
      </c>
      <c r="V79" s="99">
        <f>U79*(1+$N$87+$Q$15*S79/36500)</f>
        <v>768.88030684931516</v>
      </c>
      <c r="W79" s="32">
        <f t="shared" si="15"/>
        <v>784.25791298630145</v>
      </c>
      <c r="X79" s="32">
        <f t="shared" si="16"/>
        <v>799.63551912328785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91</v>
      </c>
      <c r="AM79" s="117">
        <f>AJ79*AL79</f>
        <v>-910000000</v>
      </c>
      <c r="AN79" s="20"/>
    </row>
    <row r="80" spans="1:40">
      <c r="D80" s="31" t="s">
        <v>307</v>
      </c>
      <c r="E80" s="1">
        <v>150000</v>
      </c>
      <c r="J80" t="s">
        <v>25</v>
      </c>
      <c r="L80" s="9" t="s">
        <v>4754</v>
      </c>
      <c r="M80" s="122" t="s">
        <v>4600</v>
      </c>
      <c r="O80" t="s">
        <v>25</v>
      </c>
      <c r="P80" s="115"/>
      <c r="Q80" s="35">
        <v>577500</v>
      </c>
      <c r="R80" s="5" t="s">
        <v>4235</v>
      </c>
      <c r="S80" s="5">
        <f>S79</f>
        <v>20</v>
      </c>
      <c r="T80" s="5" t="s">
        <v>4642</v>
      </c>
      <c r="U80" s="168">
        <v>175</v>
      </c>
      <c r="V80" s="99">
        <f>U80*(1+$N$87+$Q$15*S80/36500)</f>
        <v>179.64493150684933</v>
      </c>
      <c r="W80" s="32">
        <f t="shared" si="15"/>
        <v>183.23783013698633</v>
      </c>
      <c r="X80" s="32">
        <f t="shared" si="16"/>
        <v>186.8307287671233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90</v>
      </c>
      <c r="AM80" s="117">
        <f>AJ80*AL80</f>
        <v>-220500000</v>
      </c>
      <c r="AN80" s="20"/>
    </row>
    <row r="81" spans="4:52">
      <c r="D81" s="31" t="s">
        <v>308</v>
      </c>
      <c r="E81" s="1">
        <v>300000</v>
      </c>
      <c r="M81" s="96">
        <f>O55+O21+O29-O61</f>
        <v>1271104</v>
      </c>
      <c r="N81" s="113">
        <f>M81*P55</f>
        <v>214562355.20000002</v>
      </c>
      <c r="P81" s="115"/>
      <c r="Q81" s="35">
        <v>12636487</v>
      </c>
      <c r="R81" s="5" t="s">
        <v>3692</v>
      </c>
      <c r="S81" s="5">
        <f>S80-2</f>
        <v>18</v>
      </c>
      <c r="T81" s="5" t="s">
        <v>4645</v>
      </c>
      <c r="U81" s="168">
        <v>172.1</v>
      </c>
      <c r="V81" s="99">
        <f>U81*(1+$N$87+$Q$15*S81/36500)</f>
        <v>176.40391452054794</v>
      </c>
      <c r="W81" s="32">
        <f t="shared" si="15"/>
        <v>179.93199281095892</v>
      </c>
      <c r="X81" s="32">
        <f t="shared" si="16"/>
        <v>183.46007110136986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7"/>
        <v>85</v>
      </c>
      <c r="AM81" s="117">
        <f t="shared" si="9"/>
        <v>-38766885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J82" t="s">
        <v>4687</v>
      </c>
      <c r="M82" t="s">
        <v>4268</v>
      </c>
      <c r="P82" s="115"/>
      <c r="Q82" s="169">
        <v>1210169</v>
      </c>
      <c r="R82" s="168" t="s">
        <v>4648</v>
      </c>
      <c r="S82" s="168">
        <f>S81-3</f>
        <v>15</v>
      </c>
      <c r="T82" s="168" t="s">
        <v>4649</v>
      </c>
      <c r="U82" s="168">
        <v>1204.7</v>
      </c>
      <c r="V82" s="99">
        <f>U82*(1+$N$87+$Q$15*S82/36500)</f>
        <v>1232.0549413698632</v>
      </c>
      <c r="W82" s="32">
        <f t="shared" si="15"/>
        <v>1256.6960401972603</v>
      </c>
      <c r="X82" s="32">
        <f t="shared" si="16"/>
        <v>1281.3371390246577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84</v>
      </c>
      <c r="AM82" s="117">
        <f t="shared" si="9"/>
        <v>-42000000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4604</v>
      </c>
      <c r="N83" t="s">
        <v>25</v>
      </c>
      <c r="P83" s="115"/>
      <c r="Q83" s="35">
        <v>12131182</v>
      </c>
      <c r="R83" s="5" t="s">
        <v>4648</v>
      </c>
      <c r="S83" s="5">
        <f>S82</f>
        <v>15</v>
      </c>
      <c r="T83" s="5" t="s">
        <v>4650</v>
      </c>
      <c r="U83" s="168">
        <v>171.8</v>
      </c>
      <c r="V83" s="99">
        <f>U83*(1+$N$87+$Q$15*S83/36500)</f>
        <v>175.7010367123288</v>
      </c>
      <c r="W83" s="32">
        <f t="shared" si="15"/>
        <v>179.21505744657537</v>
      </c>
      <c r="X83" s="32">
        <f t="shared" si="16"/>
        <v>182.72907818082197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7"/>
        <v>82</v>
      </c>
      <c r="AM83" s="117">
        <f t="shared" si="9"/>
        <v>-511218340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35">
        <v>8978273</v>
      </c>
      <c r="R84" s="5" t="s">
        <v>4654</v>
      </c>
      <c r="S84" s="5">
        <f>S83-1</f>
        <v>14</v>
      </c>
      <c r="T84" s="5" t="s">
        <v>4655</v>
      </c>
      <c r="U84" s="168">
        <v>3405.9</v>
      </c>
      <c r="V84" s="99">
        <f>U84*(1+$N$87+$Q$15*S84/36500)</f>
        <v>3480.6245128767132</v>
      </c>
      <c r="W84" s="32">
        <f t="shared" ref="W84:W114" si="18">V84*(1+$W$19/100)</f>
        <v>3550.2370031342475</v>
      </c>
      <c r="X84" s="32">
        <f t="shared" ref="X84:X114" si="19">V84*(1+$X$19/100)</f>
        <v>3619.8494933917818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7"/>
        <v>79</v>
      </c>
      <c r="AM84" s="117">
        <f t="shared" si="9"/>
        <v>154125603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169">
        <v>1001073</v>
      </c>
      <c r="R85" s="168" t="s">
        <v>4654</v>
      </c>
      <c r="S85" s="168">
        <f>S84</f>
        <v>14</v>
      </c>
      <c r="T85" s="168" t="s">
        <v>4656</v>
      </c>
      <c r="U85" s="168">
        <v>455</v>
      </c>
      <c r="V85" s="99">
        <f>U85*(1+$N$87+$Q$15*S85/36500)</f>
        <v>464.98257534246585</v>
      </c>
      <c r="W85" s="32">
        <f t="shared" si="18"/>
        <v>474.28222684931518</v>
      </c>
      <c r="X85" s="32">
        <f t="shared" si="19"/>
        <v>483.58187835616451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7"/>
        <v>75</v>
      </c>
      <c r="AM85" s="117">
        <f t="shared" si="9"/>
        <v>45000000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169">
        <v>1013762</v>
      </c>
      <c r="R86" s="168" t="s">
        <v>4654</v>
      </c>
      <c r="S86" s="168">
        <f>S85</f>
        <v>14</v>
      </c>
      <c r="T86" s="168" t="s">
        <v>4659</v>
      </c>
      <c r="U86" s="168">
        <v>217.1</v>
      </c>
      <c r="V86" s="99">
        <f>U86*(1+$N$87+$Q$15*S86/36500)</f>
        <v>221.86311452054798</v>
      </c>
      <c r="W86" s="32">
        <f t="shared" si="18"/>
        <v>226.30037681095894</v>
      </c>
      <c r="X86" s="32">
        <f t="shared" si="19"/>
        <v>230.73763910136992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7"/>
        <v>70</v>
      </c>
      <c r="AM86" s="117">
        <f t="shared" si="9"/>
        <v>525000000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169">
        <v>13858128</v>
      </c>
      <c r="R87" s="168" t="s">
        <v>4654</v>
      </c>
      <c r="S87" s="168">
        <f>S86</f>
        <v>14</v>
      </c>
      <c r="T87" s="168" t="s">
        <v>4660</v>
      </c>
      <c r="U87" s="168">
        <v>4500.5</v>
      </c>
      <c r="V87" s="99">
        <f>U87*(1+$N$87+$Q$15*S87/36500)</f>
        <v>4599.239736986302</v>
      </c>
      <c r="W87" s="32">
        <f t="shared" si="18"/>
        <v>4691.2245317260285</v>
      </c>
      <c r="X87" s="32">
        <f t="shared" si="19"/>
        <v>4783.2093264657542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7"/>
        <v>68</v>
      </c>
      <c r="AM87" s="117">
        <f t="shared" si="9"/>
        <v>-39971488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4068640</v>
      </c>
      <c r="R88" s="5" t="s">
        <v>4664</v>
      </c>
      <c r="S88" s="5">
        <f>S87-1</f>
        <v>13</v>
      </c>
      <c r="T88" s="5" t="s">
        <v>4665</v>
      </c>
      <c r="U88" s="168">
        <v>3322.3</v>
      </c>
      <c r="V88" s="99">
        <f>U88*(1+$N$87+$Q$15*S88/36500)</f>
        <v>3392.6417380821922</v>
      </c>
      <c r="W88" s="32">
        <f t="shared" si="18"/>
        <v>3460.4945728438361</v>
      </c>
      <c r="X88" s="32">
        <f t="shared" si="19"/>
        <v>3528.3474076054799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65</v>
      </c>
      <c r="AM88" s="117">
        <f t="shared" si="9"/>
        <v>-58986785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12656982</v>
      </c>
      <c r="R89" s="5" t="s">
        <v>4664</v>
      </c>
      <c r="S89" s="5">
        <f>S88</f>
        <v>13</v>
      </c>
      <c r="T89" s="5" t="s">
        <v>4666</v>
      </c>
      <c r="U89" s="168">
        <v>5249.9</v>
      </c>
      <c r="V89" s="99">
        <f>U89*(1+$N$87+$Q$15*S89/36500)</f>
        <v>5361.054047123288</v>
      </c>
      <c r="W89" s="32">
        <f t="shared" si="18"/>
        <v>5468.275128065754</v>
      </c>
      <c r="X89" s="32">
        <f t="shared" si="19"/>
        <v>5575.4962090082199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7"/>
        <v>65</v>
      </c>
      <c r="AM89" s="117">
        <f t="shared" si="9"/>
        <v>159250000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Q90" s="169">
        <v>100905</v>
      </c>
      <c r="R90" s="168" t="s">
        <v>4667</v>
      </c>
      <c r="S90" s="168">
        <f>S89-1</f>
        <v>12</v>
      </c>
      <c r="T90" s="168" t="s">
        <v>4673</v>
      </c>
      <c r="U90" s="168">
        <v>372</v>
      </c>
      <c r="V90" s="99">
        <f>U90*(1+$N$87+$Q$15*S90/36500)</f>
        <v>379.59083835616445</v>
      </c>
      <c r="W90" s="32">
        <f t="shared" si="18"/>
        <v>387.18265512328776</v>
      </c>
      <c r="X90" s="32">
        <f t="shared" si="19"/>
        <v>394.77447189041106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7"/>
        <v>64</v>
      </c>
      <c r="AM90" s="117">
        <f t="shared" si="9"/>
        <v>96000000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4549</v>
      </c>
      <c r="Q91" s="35">
        <v>48637534</v>
      </c>
      <c r="R91" s="5" t="s">
        <v>4667</v>
      </c>
      <c r="S91" s="5">
        <f>S90</f>
        <v>12</v>
      </c>
      <c r="T91" s="5" t="s">
        <v>4671</v>
      </c>
      <c r="U91" s="168">
        <v>5330</v>
      </c>
      <c r="V91" s="99">
        <f>U91*(1+$N$87+$Q$15*S91/36500)</f>
        <v>5438.7612054794527</v>
      </c>
      <c r="W91" s="32">
        <f t="shared" si="18"/>
        <v>5547.5364295890422</v>
      </c>
      <c r="X91" s="32">
        <f t="shared" si="19"/>
        <v>5656.3116536986308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7"/>
        <v>63</v>
      </c>
      <c r="AM91" s="117">
        <f t="shared" si="9"/>
        <v>166824000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4550</v>
      </c>
      <c r="Q92" s="35">
        <v>40048573</v>
      </c>
      <c r="R92" s="5" t="s">
        <v>4667</v>
      </c>
      <c r="S92" s="5">
        <f>S91</f>
        <v>12</v>
      </c>
      <c r="T92" s="5" t="s">
        <v>4672</v>
      </c>
      <c r="U92" s="168">
        <v>498.9</v>
      </c>
      <c r="V92" s="99">
        <f>U92*(1+$N$87+$Q$15*S92/36500)</f>
        <v>509.08029369863021</v>
      </c>
      <c r="W92" s="32">
        <f t="shared" si="18"/>
        <v>519.26189957260283</v>
      </c>
      <c r="X92" s="32">
        <f t="shared" si="19"/>
        <v>529.44350544657539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7"/>
        <v>62</v>
      </c>
      <c r="AM92" s="117">
        <f t="shared" si="9"/>
        <v>38130000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4551</v>
      </c>
      <c r="Q93" s="169">
        <v>1000495</v>
      </c>
      <c r="R93" s="168" t="s">
        <v>4684</v>
      </c>
      <c r="S93" s="168">
        <f>S92-1</f>
        <v>11</v>
      </c>
      <c r="T93" s="168" t="s">
        <v>4765</v>
      </c>
      <c r="U93" s="168">
        <v>724.8</v>
      </c>
      <c r="V93" s="99">
        <f>U93*(1+$N$87+$Q$15*S93/36500)</f>
        <v>739.03388054794516</v>
      </c>
      <c r="W93" s="32">
        <f t="shared" si="18"/>
        <v>753.81455815890411</v>
      </c>
      <c r="X93" s="32">
        <f t="shared" si="19"/>
        <v>768.59523576986294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58</v>
      </c>
      <c r="AM93" s="117">
        <f t="shared" si="9"/>
        <v>812000000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4397</v>
      </c>
      <c r="Q94" s="35">
        <v>37856769</v>
      </c>
      <c r="R94" s="5" t="s">
        <v>4684</v>
      </c>
      <c r="S94" s="5">
        <f>S93</f>
        <v>11</v>
      </c>
      <c r="T94" s="5" t="s">
        <v>4686</v>
      </c>
      <c r="U94" s="168">
        <v>5393.6</v>
      </c>
      <c r="V94" s="99">
        <f>U94*(1+$N$87+$Q$15*S94/36500)</f>
        <v>5499.5214378082201</v>
      </c>
      <c r="W94" s="32">
        <f t="shared" si="18"/>
        <v>5609.5118665643849</v>
      </c>
      <c r="X94" s="32">
        <f t="shared" si="19"/>
        <v>5719.5022953205489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56</v>
      </c>
      <c r="AM94" s="117">
        <f t="shared" si="9"/>
        <v>73528000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4416</v>
      </c>
      <c r="Q95" s="35">
        <v>155151</v>
      </c>
      <c r="R95" s="5" t="s">
        <v>4697</v>
      </c>
      <c r="S95" s="5">
        <f>S94-3</f>
        <v>8</v>
      </c>
      <c r="T95" s="5" t="s">
        <v>4699</v>
      </c>
      <c r="U95" s="168">
        <v>5325.9</v>
      </c>
      <c r="V95" s="99">
        <f>U95*(1+$N$87+$Q$15*S95/36500)</f>
        <v>5418.2350553424658</v>
      </c>
      <c r="W95" s="32">
        <f t="shared" si="18"/>
        <v>5526.5997564493155</v>
      </c>
      <c r="X95" s="32">
        <f t="shared" si="19"/>
        <v>5634.9644575561642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0">AL96+AK95</f>
        <v>56</v>
      </c>
      <c r="AM95" s="117">
        <f t="shared" si="9"/>
        <v>127064000</v>
      </c>
      <c r="AN95" s="99"/>
    </row>
    <row r="96" spans="4:52">
      <c r="D96" s="32" t="s">
        <v>314</v>
      </c>
      <c r="E96" s="1">
        <v>140000</v>
      </c>
      <c r="M96" t="s">
        <v>4552</v>
      </c>
      <c r="Q96" s="169">
        <v>109726</v>
      </c>
      <c r="R96" s="168" t="s">
        <v>4697</v>
      </c>
      <c r="S96" s="168">
        <f>S95</f>
        <v>8</v>
      </c>
      <c r="T96" s="168" t="s">
        <v>4700</v>
      </c>
      <c r="U96" s="168">
        <v>3900.7</v>
      </c>
      <c r="V96" s="99">
        <f>U96*(1+$N$87+$Q$15*S96/36500)</f>
        <v>3968.3263824657533</v>
      </c>
      <c r="W96" s="32">
        <f t="shared" si="18"/>
        <v>4047.6929101150686</v>
      </c>
      <c r="X96" s="32">
        <f t="shared" si="19"/>
        <v>4127.0594377643838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0"/>
        <v>55</v>
      </c>
      <c r="AM96" s="117">
        <f t="shared" si="9"/>
        <v>41250000</v>
      </c>
      <c r="AN96" s="99"/>
    </row>
    <row r="97" spans="4:47">
      <c r="D97" s="2" t="s">
        <v>478</v>
      </c>
      <c r="E97" s="3">
        <v>1083333</v>
      </c>
      <c r="M97" t="s">
        <v>4401</v>
      </c>
      <c r="Q97" s="35">
        <v>8938737</v>
      </c>
      <c r="R97" s="5" t="s">
        <v>4703</v>
      </c>
      <c r="S97" s="5">
        <f>S96-1</f>
        <v>7</v>
      </c>
      <c r="T97" s="5" t="s">
        <v>4705</v>
      </c>
      <c r="U97" s="168">
        <v>5179.5</v>
      </c>
      <c r="V97" s="99">
        <f>U97*(1+$N$87+$Q$15*S97/36500)</f>
        <v>5265.3236054794525</v>
      </c>
      <c r="W97" s="32">
        <f t="shared" si="18"/>
        <v>5370.6300775890413</v>
      </c>
      <c r="X97" s="32">
        <f t="shared" si="19"/>
        <v>5475.9365496986311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0"/>
        <v>51</v>
      </c>
      <c r="AM97" s="117">
        <f t="shared" si="9"/>
        <v>96900000</v>
      </c>
      <c r="AN97" s="99"/>
    </row>
    <row r="98" spans="4:47">
      <c r="D98" s="2"/>
      <c r="E98" s="3"/>
      <c r="H98" s="96"/>
      <c r="M98" t="s">
        <v>4553</v>
      </c>
      <c r="Q98" s="35">
        <v>2595417</v>
      </c>
      <c r="R98" s="5" t="s">
        <v>4713</v>
      </c>
      <c r="S98" s="5">
        <f>S97-1</f>
        <v>6</v>
      </c>
      <c r="T98" s="5" t="s">
        <v>4714</v>
      </c>
      <c r="U98" s="168">
        <v>4803</v>
      </c>
      <c r="V98" s="99">
        <f>U98*(1+$N$87+$Q$15*S98/36500)</f>
        <v>4878.9005589041099</v>
      </c>
      <c r="W98" s="32">
        <f t="shared" si="18"/>
        <v>4976.4785700821922</v>
      </c>
      <c r="X98" s="32">
        <f t="shared" si="19"/>
        <v>5074.0565812602745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0"/>
        <v>48</v>
      </c>
      <c r="AM98" s="117">
        <f t="shared" si="9"/>
        <v>307200000</v>
      </c>
      <c r="AN98" s="99"/>
    </row>
    <row r="99" spans="4:47">
      <c r="D99" s="2"/>
      <c r="E99" s="3"/>
      <c r="M99" t="s">
        <v>4554</v>
      </c>
      <c r="P99" s="115"/>
      <c r="Q99" s="169">
        <v>2505816</v>
      </c>
      <c r="R99" s="168" t="s">
        <v>4713</v>
      </c>
      <c r="S99" s="168">
        <f>S98</f>
        <v>6</v>
      </c>
      <c r="T99" s="168" t="s">
        <v>4715</v>
      </c>
      <c r="U99" s="168">
        <v>3723</v>
      </c>
      <c r="V99" s="99">
        <f>U99*(1+$N$87+$Q$15*S99/36500)</f>
        <v>3781.8335999999999</v>
      </c>
      <c r="W99" s="32">
        <f t="shared" si="18"/>
        <v>3857.470272</v>
      </c>
      <c r="X99" s="32">
        <f t="shared" si="19"/>
        <v>3933.1069440000001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0"/>
        <v>47</v>
      </c>
      <c r="AM99" s="117">
        <f t="shared" si="9"/>
        <v>235000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 t="s">
        <v>25</v>
      </c>
      <c r="L100" s="96"/>
      <c r="M100" s="96"/>
      <c r="N100" s="96"/>
      <c r="P100" s="128"/>
      <c r="Q100" s="169">
        <v>183283</v>
      </c>
      <c r="R100" s="215" t="s">
        <v>4717</v>
      </c>
      <c r="S100" s="215">
        <f>S99-1</f>
        <v>5</v>
      </c>
      <c r="T100" s="215" t="s">
        <v>4734</v>
      </c>
      <c r="U100" s="215">
        <v>347.5</v>
      </c>
      <c r="V100" s="99">
        <f>U100*(1+$N$87+$Q$15*S100/36500)</f>
        <v>352.72487671232881</v>
      </c>
      <c r="W100" s="32">
        <f t="shared" si="18"/>
        <v>359.7793742465754</v>
      </c>
      <c r="X100" s="32">
        <f t="shared" si="19"/>
        <v>366.83387178082199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0"/>
        <v>42</v>
      </c>
      <c r="AM100" s="117">
        <f t="shared" si="9"/>
        <v>-73506216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28"/>
      <c r="Q101" s="169">
        <v>177438</v>
      </c>
      <c r="R101" s="215" t="s">
        <v>4717</v>
      </c>
      <c r="S101" s="215">
        <f t="shared" ref="S101:S106" si="21">S100</f>
        <v>5</v>
      </c>
      <c r="T101" s="215" t="s">
        <v>4728</v>
      </c>
      <c r="U101" s="215">
        <v>207.3</v>
      </c>
      <c r="V101" s="99">
        <f>U101*(1+$N$87+$Q$15*S101/36500)</f>
        <v>210.41688328767125</v>
      </c>
      <c r="W101" s="32">
        <f t="shared" si="18"/>
        <v>214.62522095342467</v>
      </c>
      <c r="X101" s="32">
        <f t="shared" si="19"/>
        <v>218.83355861917812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0"/>
        <v>41</v>
      </c>
      <c r="AM101" s="117">
        <f t="shared" si="9"/>
        <v>16400000</v>
      </c>
      <c r="AN101" s="99"/>
    </row>
    <row r="102" spans="4:47">
      <c r="K102" s="96"/>
      <c r="L102" s="96"/>
      <c r="M102" s="96"/>
      <c r="N102" s="96"/>
      <c r="P102" s="115"/>
      <c r="Q102" s="35">
        <v>559461</v>
      </c>
      <c r="R102" s="5" t="s">
        <v>4717</v>
      </c>
      <c r="S102" s="5">
        <f t="shared" si="21"/>
        <v>5</v>
      </c>
      <c r="T102" s="5" t="s">
        <v>4729</v>
      </c>
      <c r="U102" s="215">
        <v>508.1</v>
      </c>
      <c r="V102" s="99">
        <f>U102*(1+$N$87+$Q$15*S102/36500)</f>
        <v>515.73959671232888</v>
      </c>
      <c r="W102" s="32">
        <f t="shared" si="18"/>
        <v>526.05438864657549</v>
      </c>
      <c r="X102" s="32">
        <f t="shared" si="19"/>
        <v>536.3691805808221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0"/>
        <v>41</v>
      </c>
      <c r="AM102" s="117">
        <f t="shared" si="9"/>
        <v>-86322261</v>
      </c>
      <c r="AN102" s="99"/>
      <c r="AO102" t="s">
        <v>25</v>
      </c>
    </row>
    <row r="103" spans="4:47">
      <c r="Q103" s="35">
        <v>169080</v>
      </c>
      <c r="R103" s="5" t="s">
        <v>4717</v>
      </c>
      <c r="S103" s="5">
        <f t="shared" si="21"/>
        <v>5</v>
      </c>
      <c r="T103" s="5" t="s">
        <v>4730</v>
      </c>
      <c r="U103" s="215">
        <v>168.3</v>
      </c>
      <c r="V103" s="99">
        <f>U103*(1+$N$87+$Q$15*S103/36500)</f>
        <v>170.83049424657537</v>
      </c>
      <c r="W103" s="32">
        <f t="shared" si="18"/>
        <v>174.24710413150689</v>
      </c>
      <c r="X103" s="32">
        <f t="shared" si="19"/>
        <v>177.66371401643838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0"/>
        <v>40</v>
      </c>
      <c r="AM103" s="117">
        <f t="shared" si="9"/>
        <v>-221104720</v>
      </c>
      <c r="AN103" s="99"/>
    </row>
    <row r="104" spans="4:47">
      <c r="Q104" s="35">
        <v>9376000</v>
      </c>
      <c r="R104" s="5" t="s">
        <v>4717</v>
      </c>
      <c r="S104" s="5">
        <f>S103</f>
        <v>5</v>
      </c>
      <c r="T104" s="5" t="s">
        <v>4731</v>
      </c>
      <c r="U104" s="215">
        <v>3184.1</v>
      </c>
      <c r="V104" s="99">
        <f>U104*(1+$N$87+$Q$15*S104/36500)</f>
        <v>3231.9749063013701</v>
      </c>
      <c r="W104" s="32">
        <f t="shared" si="18"/>
        <v>3296.6144044273974</v>
      </c>
      <c r="X104" s="32">
        <f t="shared" si="19"/>
        <v>3361.2539025534252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0"/>
        <v>40</v>
      </c>
      <c r="AM104" s="117">
        <f t="shared" si="9"/>
        <v>156000000</v>
      </c>
      <c r="AN104" s="99"/>
    </row>
    <row r="105" spans="4:47">
      <c r="F105" s="99" t="s">
        <v>4764</v>
      </c>
      <c r="G105" s="99" t="s">
        <v>941</v>
      </c>
      <c r="H105" s="99" t="s">
        <v>4737</v>
      </c>
      <c r="I105" s="99" t="s">
        <v>4736</v>
      </c>
      <c r="J105" s="32" t="s">
        <v>4555</v>
      </c>
      <c r="K105" s="168" t="s">
        <v>4721</v>
      </c>
      <c r="L105" s="32" t="s">
        <v>4723</v>
      </c>
      <c r="M105" s="32" t="s">
        <v>4688</v>
      </c>
      <c r="N105" s="168" t="s">
        <v>4689</v>
      </c>
      <c r="Q105" s="169">
        <v>128675</v>
      </c>
      <c r="R105" s="215" t="s">
        <v>4717</v>
      </c>
      <c r="S105" s="215">
        <f t="shared" si="21"/>
        <v>5</v>
      </c>
      <c r="T105" s="215" t="s">
        <v>4732</v>
      </c>
      <c r="U105" s="215">
        <v>699.9</v>
      </c>
      <c r="V105" s="99">
        <f>U105*(1+$N$87+$Q$15*S105/36500)</f>
        <v>710.4234279452055</v>
      </c>
      <c r="W105" s="32">
        <f t="shared" si="18"/>
        <v>724.63189650410959</v>
      </c>
      <c r="X105" s="32">
        <f t="shared" si="19"/>
        <v>738.84036506301379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0"/>
        <v>37</v>
      </c>
      <c r="AM105" s="117">
        <f t="shared" si="9"/>
        <v>-146880898</v>
      </c>
      <c r="AN105" s="99"/>
    </row>
    <row r="106" spans="4:47">
      <c r="F106" s="184">
        <f>$L$114/G106</f>
        <v>25266.587677725118</v>
      </c>
      <c r="G106" s="184">
        <f>P55</f>
        <v>168.8</v>
      </c>
      <c r="H106" s="184" t="s">
        <v>4741</v>
      </c>
      <c r="I106" s="184" t="s">
        <v>4740</v>
      </c>
      <c r="J106" s="220" t="s">
        <v>4244</v>
      </c>
      <c r="K106" s="201">
        <v>60</v>
      </c>
      <c r="L106" s="221">
        <f>K106*$L$114</f>
        <v>255900000</v>
      </c>
      <c r="M106" s="221">
        <f>N21+N29+N55</f>
        <v>228534437.59999999</v>
      </c>
      <c r="N106" s="185">
        <f t="shared" ref="N106:N112" si="22">L106-M106</f>
        <v>27365562.400000006</v>
      </c>
      <c r="Q106" s="169">
        <v>101201</v>
      </c>
      <c r="R106" s="215" t="s">
        <v>4717</v>
      </c>
      <c r="S106" s="215">
        <f t="shared" si="21"/>
        <v>5</v>
      </c>
      <c r="T106" s="215" t="s">
        <v>4733</v>
      </c>
      <c r="U106" s="215">
        <v>290.3</v>
      </c>
      <c r="V106" s="99">
        <f>U106*(1+$N$87+$Q$15*S106/36500)</f>
        <v>294.66483945205482</v>
      </c>
      <c r="W106" s="32">
        <f t="shared" si="18"/>
        <v>300.55813624109589</v>
      </c>
      <c r="X106" s="32">
        <f t="shared" si="19"/>
        <v>306.45143303013703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0"/>
        <v>36</v>
      </c>
      <c r="AM106" s="117">
        <f t="shared" si="9"/>
        <v>-920680380</v>
      </c>
      <c r="AN106" s="99"/>
      <c r="AP106" t="s">
        <v>25</v>
      </c>
    </row>
    <row r="107" spans="4:47">
      <c r="F107" s="99">
        <f>$L$114/G107</f>
        <v>848.79000159210318</v>
      </c>
      <c r="G107" s="99">
        <f>P45</f>
        <v>5024.8</v>
      </c>
      <c r="H107" s="99" t="s">
        <v>4743</v>
      </c>
      <c r="I107" s="99" t="s">
        <v>4742</v>
      </c>
      <c r="J107" s="32" t="s">
        <v>4401</v>
      </c>
      <c r="K107" s="168">
        <v>30</v>
      </c>
      <c r="L107" s="1">
        <f>K107*$L$114</f>
        <v>127950000</v>
      </c>
      <c r="M107" s="1">
        <f>N24+N45+N27</f>
        <v>110419980</v>
      </c>
      <c r="N107" s="113">
        <f t="shared" si="22"/>
        <v>17530020</v>
      </c>
      <c r="Q107" s="35">
        <v>13100555</v>
      </c>
      <c r="R107" s="5" t="s">
        <v>4748</v>
      </c>
      <c r="S107" s="5">
        <f>S106-1</f>
        <v>4</v>
      </c>
      <c r="T107" s="5" t="s">
        <v>4752</v>
      </c>
      <c r="U107" s="215">
        <v>3180.5</v>
      </c>
      <c r="V107" s="99">
        <f>U107*(1+$N$87+$Q$15*S107/36500)</f>
        <v>3225.8809424657538</v>
      </c>
      <c r="W107" s="32">
        <f t="shared" si="18"/>
        <v>3290.3985613150689</v>
      </c>
      <c r="X107" s="32">
        <f t="shared" si="19"/>
        <v>3354.9161801643841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0"/>
        <v>36</v>
      </c>
      <c r="AM107" s="117">
        <f t="shared" si="9"/>
        <v>144000000</v>
      </c>
      <c r="AN107" s="99"/>
    </row>
    <row r="108" spans="4:47">
      <c r="F108" s="184">
        <f>$L$114/G108</f>
        <v>1359.7092485733415</v>
      </c>
      <c r="G108" s="184">
        <f>P42</f>
        <v>3136.7</v>
      </c>
      <c r="H108" s="184" t="s">
        <v>3882</v>
      </c>
      <c r="I108" s="184" t="s">
        <v>4744</v>
      </c>
      <c r="J108" s="220" t="s">
        <v>4397</v>
      </c>
      <c r="K108" s="201">
        <v>30</v>
      </c>
      <c r="L108" s="221">
        <f>K108*$L$114</f>
        <v>127950000</v>
      </c>
      <c r="M108" s="221">
        <f>N42</f>
        <v>40071342.5</v>
      </c>
      <c r="N108" s="185">
        <f t="shared" si="22"/>
        <v>87878657.5</v>
      </c>
      <c r="Q108" s="35">
        <v>622942</v>
      </c>
      <c r="R108" s="5" t="s">
        <v>4748</v>
      </c>
      <c r="S108" s="5">
        <f>S107</f>
        <v>4</v>
      </c>
      <c r="T108" s="5" t="s">
        <v>4753</v>
      </c>
      <c r="U108" s="215">
        <v>503.3</v>
      </c>
      <c r="V108" s="99">
        <f>U108*(1+$N$87+$Q$15*S108/36500)</f>
        <v>510.48133260273983</v>
      </c>
      <c r="W108" s="32">
        <f t="shared" si="18"/>
        <v>520.69095925479462</v>
      </c>
      <c r="X108" s="32">
        <f t="shared" si="19"/>
        <v>530.90058590684941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0"/>
        <v>35</v>
      </c>
      <c r="AM108" s="117">
        <f t="shared" si="9"/>
        <v>-175000000</v>
      </c>
      <c r="AN108" s="99"/>
    </row>
    <row r="109" spans="4:47">
      <c r="F109" s="99">
        <f>$L$114/G109</f>
        <v>8781.1406217829935</v>
      </c>
      <c r="G109" s="99">
        <f>P46</f>
        <v>485.7</v>
      </c>
      <c r="H109" s="99" t="s">
        <v>4739</v>
      </c>
      <c r="I109" s="99" t="s">
        <v>4738</v>
      </c>
      <c r="J109" s="32" t="s">
        <v>4416</v>
      </c>
      <c r="K109" s="168">
        <v>30</v>
      </c>
      <c r="L109" s="1">
        <f>K109*$L$114</f>
        <v>127950000</v>
      </c>
      <c r="M109" s="1">
        <f>N46+N23+N28</f>
        <v>46446519.600000001</v>
      </c>
      <c r="N109" s="113">
        <f t="shared" si="22"/>
        <v>81503480.400000006</v>
      </c>
      <c r="Q109" s="35">
        <v>1472140</v>
      </c>
      <c r="R109" s="5" t="s">
        <v>4759</v>
      </c>
      <c r="S109" s="5">
        <f>S108-3</f>
        <v>1</v>
      </c>
      <c r="T109" s="5" t="s">
        <v>4763</v>
      </c>
      <c r="U109" s="168">
        <v>502</v>
      </c>
      <c r="V109" s="99">
        <f>U109*(1+$N$87+$Q$15*S109/36500)</f>
        <v>508.00749589041095</v>
      </c>
      <c r="W109" s="32">
        <f t="shared" si="18"/>
        <v>518.16764580821916</v>
      </c>
      <c r="X109" s="32">
        <f t="shared" si="19"/>
        <v>528.32779572602738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0"/>
        <v>33</v>
      </c>
      <c r="AM109" s="117">
        <f t="shared" si="9"/>
        <v>330000000</v>
      </c>
      <c r="AN109" s="99"/>
    </row>
    <row r="110" spans="4:47">
      <c r="F110" s="184">
        <f>$L$114/G110</f>
        <v>937.52747735865648</v>
      </c>
      <c r="G110" s="184">
        <f>P49</f>
        <v>4549.2</v>
      </c>
      <c r="H110" s="184" t="s">
        <v>4745</v>
      </c>
      <c r="I110" s="184" t="s">
        <v>4744</v>
      </c>
      <c r="J110" s="220" t="s">
        <v>4551</v>
      </c>
      <c r="K110" s="201">
        <v>19</v>
      </c>
      <c r="L110" s="221">
        <f>K110*$L$114</f>
        <v>81035000</v>
      </c>
      <c r="M110" s="221">
        <f>N49</f>
        <v>13943298</v>
      </c>
      <c r="N110" s="185">
        <f t="shared" si="22"/>
        <v>67091702</v>
      </c>
      <c r="Q110" s="35">
        <v>4394591</v>
      </c>
      <c r="R110" s="5" t="s">
        <v>4767</v>
      </c>
      <c r="S110" s="5">
        <f>S109-1</f>
        <v>0</v>
      </c>
      <c r="T110" s="5" t="s">
        <v>4768</v>
      </c>
      <c r="U110" s="168">
        <v>481.7</v>
      </c>
      <c r="V110" s="99">
        <f>U110*(1+$N$87+$Q$15*S110/36500)</f>
        <v>487.09504000000004</v>
      </c>
      <c r="W110" s="32">
        <f t="shared" si="18"/>
        <v>496.83694080000004</v>
      </c>
      <c r="X110" s="32">
        <f t="shared" si="19"/>
        <v>506.57884160000003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0"/>
        <v>29</v>
      </c>
      <c r="AM110" s="117">
        <f t="shared" si="9"/>
        <v>-152016173</v>
      </c>
      <c r="AN110" s="99"/>
    </row>
    <row r="111" spans="4:47">
      <c r="F111" s="99">
        <f>$L$114/G111</f>
        <v>1115.3242677824269</v>
      </c>
      <c r="G111" s="99">
        <f>P47</f>
        <v>3824</v>
      </c>
      <c r="H111" s="99" t="s">
        <v>4746</v>
      </c>
      <c r="I111" s="99" t="s">
        <v>4747</v>
      </c>
      <c r="J111" s="32" t="s">
        <v>4552</v>
      </c>
      <c r="K111" s="168">
        <v>19</v>
      </c>
      <c r="L111" s="1">
        <f>K111*$L$114</f>
        <v>81035000</v>
      </c>
      <c r="M111" s="1">
        <f>N47</f>
        <v>2669152</v>
      </c>
      <c r="N111" s="113">
        <f t="shared" si="22"/>
        <v>78365848</v>
      </c>
      <c r="Q111" s="117">
        <v>4085110</v>
      </c>
      <c r="R111" s="19" t="s">
        <v>4772</v>
      </c>
      <c r="S111" s="19">
        <f>S110-1</f>
        <v>-1</v>
      </c>
      <c r="T111" s="19" t="s">
        <v>4773</v>
      </c>
      <c r="U111" s="219">
        <v>3115.9</v>
      </c>
      <c r="V111" s="99">
        <f>U111*(1+$N$87+$Q$15*S111/36500)</f>
        <v>3148.407800547946</v>
      </c>
      <c r="W111" s="32">
        <f t="shared" si="18"/>
        <v>3211.3759565589048</v>
      </c>
      <c r="X111" s="32">
        <f t="shared" si="19"/>
        <v>3274.3441125698637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0"/>
        <v>29</v>
      </c>
      <c r="AM111" s="117">
        <f t="shared" si="9"/>
        <v>635100000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4702</v>
      </c>
      <c r="K112" s="201">
        <v>5</v>
      </c>
      <c r="L112" s="221">
        <f>K112*$L$114</f>
        <v>21325000</v>
      </c>
      <c r="M112" s="221">
        <f>N22+N48+N43+N44+N51+N50+N54+N53+N52</f>
        <v>16219896.9</v>
      </c>
      <c r="N112" s="185">
        <f t="shared" si="22"/>
        <v>5105103.0999999996</v>
      </c>
      <c r="Q112" s="117">
        <v>205386</v>
      </c>
      <c r="R112" s="19" t="s">
        <v>4774</v>
      </c>
      <c r="S112" s="19">
        <f>S111</f>
        <v>-1</v>
      </c>
      <c r="T112" s="19" t="s">
        <v>4775</v>
      </c>
      <c r="U112" s="219">
        <v>178.1</v>
      </c>
      <c r="V112" s="99">
        <f>U112*(1+$N$87+$Q$15*S112/36500)</f>
        <v>179.95809534246578</v>
      </c>
      <c r="W112" s="32">
        <f t="shared" si="18"/>
        <v>183.55725724931511</v>
      </c>
      <c r="X112" s="32">
        <f t="shared" si="19"/>
        <v>187.15641915616442</v>
      </c>
      <c r="Y112" t="s">
        <v>25</v>
      </c>
      <c r="AH112" s="99">
        <v>92</v>
      </c>
      <c r="AI112" s="113" t="s">
        <v>4613</v>
      </c>
      <c r="AJ112" s="113">
        <v>-15000000</v>
      </c>
      <c r="AK112" s="99">
        <v>0</v>
      </c>
      <c r="AL112" s="99">
        <f t="shared" si="20"/>
        <v>27</v>
      </c>
      <c r="AM112" s="117">
        <f t="shared" si="9"/>
        <v>-405000000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4724</v>
      </c>
      <c r="K113" s="168">
        <f>SUM(K106:K112)</f>
        <v>193</v>
      </c>
      <c r="L113" s="168"/>
      <c r="M113" s="168"/>
      <c r="N113" s="169"/>
      <c r="Q113" s="169"/>
      <c r="R113" s="168"/>
      <c r="S113" s="168"/>
      <c r="T113" s="168"/>
      <c r="U113" s="168"/>
      <c r="V113" s="99"/>
      <c r="W113" s="32"/>
      <c r="X113" s="32"/>
      <c r="AH113" s="99">
        <v>93</v>
      </c>
      <c r="AI113" s="113" t="s">
        <v>4613</v>
      </c>
      <c r="AJ113" s="113">
        <v>3000000</v>
      </c>
      <c r="AK113" s="99">
        <v>1</v>
      </c>
      <c r="AL113" s="99">
        <f t="shared" si="20"/>
        <v>27</v>
      </c>
      <c r="AM113" s="117">
        <f t="shared" si="9"/>
        <v>81000000</v>
      </c>
      <c r="AN113" s="99"/>
    </row>
    <row r="114" spans="6:43">
      <c r="F114" s="184"/>
      <c r="G114" s="184"/>
      <c r="H114" s="184"/>
      <c r="I114" s="184"/>
      <c r="J114" s="201"/>
      <c r="K114" s="201">
        <v>78</v>
      </c>
      <c r="L114" s="39">
        <v>4265000</v>
      </c>
      <c r="M114" s="221">
        <f>K114*L114</f>
        <v>332670000</v>
      </c>
      <c r="N114" s="185">
        <f>SUM(N106:N112)-M114</f>
        <v>32170373.400000036</v>
      </c>
      <c r="Q114" s="169"/>
      <c r="R114" s="168"/>
      <c r="S114" s="168"/>
      <c r="T114" s="168"/>
      <c r="U114" s="168"/>
      <c r="V114" s="99">
        <f>U114*(1+$N$87+$Q$15*S114/36500)</f>
        <v>0</v>
      </c>
      <c r="W114" s="32">
        <f t="shared" si="18"/>
        <v>0</v>
      </c>
      <c r="X114" s="32">
        <f t="shared" si="19"/>
        <v>0</v>
      </c>
      <c r="AH114" s="99">
        <v>94</v>
      </c>
      <c r="AI114" s="113" t="s">
        <v>4617</v>
      </c>
      <c r="AJ114" s="113">
        <v>-2103736</v>
      </c>
      <c r="AK114" s="99">
        <v>0</v>
      </c>
      <c r="AL114" s="99">
        <f t="shared" si="20"/>
        <v>26</v>
      </c>
      <c r="AM114" s="117">
        <f t="shared" si="9"/>
        <v>-54697136</v>
      </c>
      <c r="AN114" s="99"/>
    </row>
    <row r="115" spans="6:43" ht="30">
      <c r="F115" s="99"/>
      <c r="G115" s="99"/>
      <c r="H115" s="99"/>
      <c r="I115" s="99"/>
      <c r="J115" s="168"/>
      <c r="K115" s="216" t="s">
        <v>4769</v>
      </c>
      <c r="L115" s="168" t="s">
        <v>4254</v>
      </c>
      <c r="M115" s="168" t="s">
        <v>4711</v>
      </c>
      <c r="N115" s="168" t="s">
        <v>4712</v>
      </c>
      <c r="Q115" s="113">
        <f>SUM(N42:N56)-SUM(Q58:Q114)</f>
        <v>-37123202.100000024</v>
      </c>
      <c r="R115" s="112"/>
      <c r="S115" s="112"/>
      <c r="T115" s="112"/>
      <c r="U115" s="168"/>
      <c r="V115" s="99" t="s">
        <v>25</v>
      </c>
      <c r="W115" s="32"/>
      <c r="X115" s="32"/>
      <c r="Y115" t="s">
        <v>25</v>
      </c>
      <c r="AH115" s="99">
        <v>95</v>
      </c>
      <c r="AI115" s="113" t="s">
        <v>4617</v>
      </c>
      <c r="AJ115" s="113">
        <v>220000</v>
      </c>
      <c r="AK115" s="99">
        <v>3</v>
      </c>
      <c r="AL115" s="99">
        <f t="shared" si="20"/>
        <v>26</v>
      </c>
      <c r="AM115" s="117">
        <f t="shared" si="9"/>
        <v>5720000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4722</v>
      </c>
      <c r="K116" s="201"/>
      <c r="L116" s="201"/>
      <c r="M116" s="201"/>
      <c r="N116" s="201"/>
      <c r="Q116" s="26"/>
      <c r="R116" s="182"/>
      <c r="S116" s="182"/>
      <c r="T116" t="s">
        <v>25</v>
      </c>
      <c r="U116" s="96" t="s">
        <v>25</v>
      </c>
      <c r="V116" s="96" t="s">
        <v>25</v>
      </c>
      <c r="AH116" s="99">
        <v>96</v>
      </c>
      <c r="AI116" s="113" t="s">
        <v>4627</v>
      </c>
      <c r="AJ116" s="113">
        <v>4000000</v>
      </c>
      <c r="AK116" s="99">
        <v>1</v>
      </c>
      <c r="AL116" s="99">
        <f t="shared" si="20"/>
        <v>23</v>
      </c>
      <c r="AM116" s="117">
        <f t="shared" si="9"/>
        <v>92000000</v>
      </c>
      <c r="AN116" s="99"/>
    </row>
    <row r="117" spans="6:43">
      <c r="M117" t="s">
        <v>25</v>
      </c>
      <c r="P117" s="114"/>
      <c r="R117" s="32" t="s">
        <v>4591</v>
      </c>
      <c r="S117" s="32" t="s">
        <v>950</v>
      </c>
      <c r="T117" t="s">
        <v>25</v>
      </c>
      <c r="U117" s="96" t="s">
        <v>25</v>
      </c>
      <c r="V117" s="96" t="s">
        <v>25</v>
      </c>
      <c r="W117" s="96" t="s">
        <v>25</v>
      </c>
      <c r="X117" s="122" t="s">
        <v>25</v>
      </c>
      <c r="Y117" s="122" t="s">
        <v>25</v>
      </c>
      <c r="AH117" s="99">
        <v>97</v>
      </c>
      <c r="AI117" s="113" t="s">
        <v>4633</v>
      </c>
      <c r="AJ117" s="113">
        <v>-9000000</v>
      </c>
      <c r="AK117" s="99">
        <v>0</v>
      </c>
      <c r="AL117" s="99">
        <f t="shared" si="20"/>
        <v>22</v>
      </c>
      <c r="AM117" s="117">
        <f t="shared" si="9"/>
        <v>-198000000</v>
      </c>
      <c r="AN117" s="99"/>
      <c r="AP117" t="s">
        <v>25</v>
      </c>
    </row>
    <row r="118" spans="6:43">
      <c r="R118" s="32">
        <v>20</v>
      </c>
      <c r="S118" s="169">
        <v>7991977</v>
      </c>
      <c r="U118" s="96" t="s">
        <v>25</v>
      </c>
      <c r="V118" s="122" t="s">
        <v>25</v>
      </c>
      <c r="X118" t="s">
        <v>25</v>
      </c>
      <c r="AH118" s="99">
        <v>98</v>
      </c>
      <c r="AI118" s="113" t="s">
        <v>4633</v>
      </c>
      <c r="AJ118" s="113">
        <v>13900000</v>
      </c>
      <c r="AK118" s="99">
        <v>2</v>
      </c>
      <c r="AL118" s="99">
        <f t="shared" si="20"/>
        <v>22</v>
      </c>
      <c r="AM118" s="117">
        <f t="shared" si="9"/>
        <v>305800000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Q119" t="s">
        <v>25</v>
      </c>
      <c r="R119" s="32">
        <v>10</v>
      </c>
      <c r="S119" s="1">
        <f>S118*R119/R118</f>
        <v>3995988.5</v>
      </c>
      <c r="U119" s="96" t="s">
        <v>25</v>
      </c>
      <c r="V119" s="122" t="s">
        <v>25</v>
      </c>
      <c r="W119" s="96" t="s">
        <v>25</v>
      </c>
      <c r="X119" t="s">
        <v>25</v>
      </c>
      <c r="AH119" s="99">
        <v>99</v>
      </c>
      <c r="AI119" s="113" t="s">
        <v>4643</v>
      </c>
      <c r="AJ119" s="113">
        <v>-8127577</v>
      </c>
      <c r="AK119" s="99">
        <v>1</v>
      </c>
      <c r="AL119" s="99">
        <f t="shared" si="20"/>
        <v>20</v>
      </c>
      <c r="AM119" s="117">
        <f t="shared" si="9"/>
        <v>-162551540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3">(M120-L120)*100/L120</f>
        <v>48.81818181818182</v>
      </c>
      <c r="R120" s="32">
        <f>R118-R119</f>
        <v>10</v>
      </c>
      <c r="S120" s="1">
        <f>R120*S118/R118</f>
        <v>3995988.5</v>
      </c>
      <c r="V120" s="96"/>
      <c r="W120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0"/>
        <v>19</v>
      </c>
      <c r="AM120" s="117">
        <f t="shared" si="9"/>
        <v>300058431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3"/>
        <v>331.63636363636363</v>
      </c>
      <c r="P121" s="114"/>
      <c r="V121" s="96"/>
      <c r="W121"/>
      <c r="AH121" s="99">
        <v>101</v>
      </c>
      <c r="AI121" s="113" t="s">
        <v>4648</v>
      </c>
      <c r="AJ121" s="113">
        <v>8800000</v>
      </c>
      <c r="AK121" s="99">
        <v>0</v>
      </c>
      <c r="AL121" s="99">
        <f t="shared" ref="AL121:AL125" si="24">AL122+AK121</f>
        <v>16</v>
      </c>
      <c r="AM121" s="117">
        <f t="shared" ref="AM121:AM138" si="25">AJ121*AL121</f>
        <v>140800000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3"/>
        <v>367</v>
      </c>
      <c r="Q122" s="99" t="s">
        <v>4470</v>
      </c>
      <c r="R122" s="99" t="s">
        <v>4472</v>
      </c>
      <c r="S122" s="99"/>
      <c r="T122" s="99" t="s">
        <v>4473</v>
      </c>
      <c r="U122" s="99"/>
      <c r="V122" s="99"/>
      <c r="W122" s="99" t="s">
        <v>4597</v>
      </c>
      <c r="Y122" t="s">
        <v>25</v>
      </c>
      <c r="AH122" s="121">
        <v>102</v>
      </c>
      <c r="AI122" s="79" t="s">
        <v>4648</v>
      </c>
      <c r="AJ122" s="79">
        <v>13071612</v>
      </c>
      <c r="AK122" s="121">
        <v>1</v>
      </c>
      <c r="AL122" s="121">
        <f t="shared" si="24"/>
        <v>16</v>
      </c>
      <c r="AM122" s="79">
        <f t="shared" si="25"/>
        <v>209145792</v>
      </c>
      <c r="AN122" s="210" t="s">
        <v>4651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3"/>
        <v>290.90909090909093</v>
      </c>
      <c r="Q123" s="113">
        <v>1000</v>
      </c>
      <c r="R123" s="99">
        <v>0.25</v>
      </c>
      <c r="S123" s="99"/>
      <c r="T123" s="99">
        <f>1-R123</f>
        <v>0.75</v>
      </c>
      <c r="U123" s="99"/>
      <c r="V123" s="99"/>
      <c r="W123" s="99"/>
      <c r="AH123" s="89">
        <v>103</v>
      </c>
      <c r="AI123" s="90" t="s">
        <v>4654</v>
      </c>
      <c r="AJ123" s="90">
        <v>16727037</v>
      </c>
      <c r="AK123" s="89">
        <v>0</v>
      </c>
      <c r="AL123" s="89">
        <f t="shared" si="24"/>
        <v>15</v>
      </c>
      <c r="AM123" s="90">
        <f t="shared" si="25"/>
        <v>250905555</v>
      </c>
      <c r="AN123" s="89" t="s">
        <v>4668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3"/>
        <v>190.09090909090909</v>
      </c>
      <c r="P124">
        <f>8991+R126</f>
        <v>772670</v>
      </c>
      <c r="Q124" s="168" t="s">
        <v>4457</v>
      </c>
      <c r="R124" s="168" t="s">
        <v>4475</v>
      </c>
      <c r="S124" s="168" t="s">
        <v>4477</v>
      </c>
      <c r="T124" s="168" t="s">
        <v>180</v>
      </c>
      <c r="U124" s="168" t="s">
        <v>4471</v>
      </c>
      <c r="V124" s="56" t="s">
        <v>4474</v>
      </c>
      <c r="W124" s="99"/>
      <c r="X124" s="115"/>
      <c r="Y124" t="s">
        <v>25</v>
      </c>
      <c r="AH124" s="99">
        <v>104</v>
      </c>
      <c r="AI124" s="113" t="s">
        <v>4654</v>
      </c>
      <c r="AJ124" s="113">
        <v>12000000</v>
      </c>
      <c r="AK124" s="99">
        <v>1</v>
      </c>
      <c r="AL124" s="99">
        <f t="shared" si="24"/>
        <v>15</v>
      </c>
      <c r="AM124" s="117">
        <f t="shared" si="25"/>
        <v>180000000</v>
      </c>
      <c r="AN124" s="99" t="s">
        <v>4669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3"/>
        <v>411.18181818181819</v>
      </c>
      <c r="Q125" s="168" t="s">
        <v>751</v>
      </c>
      <c r="R125" s="56">
        <v>1160336</v>
      </c>
      <c r="S125" s="113">
        <f>R125*$T$170</f>
        <v>276915952.42080057</v>
      </c>
      <c r="T125" s="168" t="s">
        <v>4469</v>
      </c>
      <c r="U125" s="168">
        <f>$Q$123*$T$123*S125/$R$148</f>
        <v>439.11203953891447</v>
      </c>
      <c r="V125" s="95">
        <f>S125+U125</f>
        <v>276916391.53284013</v>
      </c>
      <c r="W125" s="99">
        <f>R125*100/U167</f>
        <v>58.548271938521935</v>
      </c>
      <c r="X125" s="224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4"/>
        <v>14</v>
      </c>
      <c r="AM125" s="90">
        <f t="shared" si="25"/>
        <v>1241767338</v>
      </c>
      <c r="AN125" s="89" t="s">
        <v>4670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3"/>
        <v>602.5454545454545</v>
      </c>
      <c r="P126" s="114"/>
      <c r="Q126" s="168" t="s">
        <v>4459</v>
      </c>
      <c r="R126" s="56">
        <v>763679</v>
      </c>
      <c r="S126" s="113">
        <f>R126*$T$170</f>
        <v>182253155.66246721</v>
      </c>
      <c r="T126" s="168" t="s">
        <v>4469</v>
      </c>
      <c r="U126" s="168">
        <f>$Q$123*$T$123*S126/$R$148+Q123*R123</f>
        <v>539.00305018808228</v>
      </c>
      <c r="V126" s="95">
        <f>S126+U126</f>
        <v>182253694.66551739</v>
      </c>
      <c r="W126" s="99">
        <f>R126*100/U167</f>
        <v>38.533740025077641</v>
      </c>
      <c r="X126" s="115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13</v>
      </c>
      <c r="AM126" s="117">
        <f t="shared" si="25"/>
        <v>1313000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3"/>
        <v>164</v>
      </c>
      <c r="Q127" s="168" t="s">
        <v>4458</v>
      </c>
      <c r="R127" s="56">
        <v>57830</v>
      </c>
      <c r="S127" s="113">
        <f>R127*$T$170</f>
        <v>13801217.516732134</v>
      </c>
      <c r="T127" s="168" t="s">
        <v>4469</v>
      </c>
      <c r="U127" s="168">
        <f>$Q$123*$T$123*S127/$R$148</f>
        <v>21.884910273003186</v>
      </c>
      <c r="V127" s="95">
        <f>S127+U127</f>
        <v>13801239.401642406</v>
      </c>
      <c r="W127" s="99">
        <f>R127*100/U167</f>
        <v>2.9179880364004247</v>
      </c>
      <c r="X127" s="115"/>
      <c r="AH127" s="149">
        <v>107</v>
      </c>
      <c r="AI127" s="190" t="s">
        <v>4667</v>
      </c>
      <c r="AJ127" s="190">
        <v>-48200</v>
      </c>
      <c r="AK127" s="149">
        <v>0</v>
      </c>
      <c r="AL127" s="149">
        <f t="shared" ref="AL127:AL138" si="26">AL128+AK127</f>
        <v>13</v>
      </c>
      <c r="AM127" s="190">
        <f t="shared" si="25"/>
        <v>-626600</v>
      </c>
      <c r="AN127" s="149" t="s">
        <v>4679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3"/>
        <v>209.09090909090909</v>
      </c>
      <c r="Q128" s="168"/>
      <c r="R128" s="56"/>
      <c r="S128" s="168"/>
      <c r="T128" s="168"/>
      <c r="U128" s="168"/>
      <c r="V128" s="99"/>
      <c r="W128" s="99"/>
      <c r="X128" s="115"/>
      <c r="AH128" s="89">
        <v>108</v>
      </c>
      <c r="AI128" s="90" t="s">
        <v>4667</v>
      </c>
      <c r="AJ128" s="90">
        <v>39327293</v>
      </c>
      <c r="AK128" s="89">
        <v>4</v>
      </c>
      <c r="AL128" s="149">
        <f t="shared" si="26"/>
        <v>13</v>
      </c>
      <c r="AM128" s="190">
        <f t="shared" si="25"/>
        <v>511254809</v>
      </c>
      <c r="AN128" s="89" t="s">
        <v>4680</v>
      </c>
    </row>
    <row r="129" spans="11:43">
      <c r="K129" s="208" t="s">
        <v>4587</v>
      </c>
      <c r="Q129" s="168"/>
      <c r="R129" s="56"/>
      <c r="S129" s="168"/>
      <c r="T129" s="168"/>
      <c r="U129" s="168"/>
      <c r="V129" s="168"/>
      <c r="W129" s="99"/>
      <c r="X129" s="96"/>
      <c r="AH129" s="89">
        <v>109</v>
      </c>
      <c r="AI129" s="90" t="s">
        <v>4697</v>
      </c>
      <c r="AJ129" s="90">
        <v>8749050</v>
      </c>
      <c r="AK129" s="89">
        <v>1</v>
      </c>
      <c r="AL129" s="89">
        <f t="shared" si="26"/>
        <v>9</v>
      </c>
      <c r="AM129" s="90">
        <f t="shared" si="25"/>
        <v>78741450</v>
      </c>
      <c r="AN129" s="89" t="s">
        <v>4701</v>
      </c>
    </row>
    <row r="130" spans="11:43">
      <c r="K130" s="208" t="s">
        <v>4588</v>
      </c>
      <c r="Q130" s="168"/>
      <c r="R130" s="168"/>
      <c r="S130" s="168"/>
      <c r="T130" s="168"/>
      <c r="U130" s="168"/>
      <c r="V130" s="168"/>
      <c r="W130" s="99"/>
      <c r="X130" s="96"/>
      <c r="AH130" s="99">
        <v>110</v>
      </c>
      <c r="AI130" s="113" t="s">
        <v>4703</v>
      </c>
      <c r="AJ130" s="113">
        <v>60000</v>
      </c>
      <c r="AK130" s="99">
        <v>1</v>
      </c>
      <c r="AL130" s="99">
        <f t="shared" si="26"/>
        <v>8</v>
      </c>
      <c r="AM130" s="117">
        <f t="shared" si="25"/>
        <v>480000</v>
      </c>
      <c r="AN130" s="99" t="s">
        <v>4704</v>
      </c>
      <c r="AQ130" t="s">
        <v>25</v>
      </c>
    </row>
    <row r="131" spans="11:43">
      <c r="K131" s="208" t="s">
        <v>4589</v>
      </c>
      <c r="P131" s="114"/>
      <c r="Q131" s="99"/>
      <c r="R131" s="99"/>
      <c r="S131" s="99"/>
      <c r="T131" s="99" t="s">
        <v>25</v>
      </c>
      <c r="U131" s="99"/>
      <c r="V131" s="99"/>
      <c r="W131" s="99"/>
      <c r="X131" s="96"/>
      <c r="AH131" s="20">
        <v>111</v>
      </c>
      <c r="AI131" s="117" t="s">
        <v>4713</v>
      </c>
      <c r="AJ131" s="117">
        <v>4750000</v>
      </c>
      <c r="AK131" s="20">
        <v>0</v>
      </c>
      <c r="AL131" s="99">
        <f t="shared" si="26"/>
        <v>7</v>
      </c>
      <c r="AM131" s="117">
        <f t="shared" si="25"/>
        <v>33250000</v>
      </c>
      <c r="AN131" s="20"/>
    </row>
    <row r="132" spans="11:43">
      <c r="P132" s="114"/>
      <c r="Q132" s="99"/>
      <c r="R132" s="99"/>
      <c r="S132" s="99"/>
      <c r="T132" s="99"/>
      <c r="U132" s="99"/>
      <c r="V132" s="99"/>
      <c r="W132" s="99"/>
      <c r="X132" s="96"/>
      <c r="AH132" s="89">
        <v>112</v>
      </c>
      <c r="AI132" s="90" t="s">
        <v>4713</v>
      </c>
      <c r="AJ132" s="90">
        <v>13101160</v>
      </c>
      <c r="AK132" s="89">
        <v>1</v>
      </c>
      <c r="AL132" s="89">
        <f t="shared" si="26"/>
        <v>7</v>
      </c>
      <c r="AM132" s="90">
        <f t="shared" si="25"/>
        <v>91708120</v>
      </c>
      <c r="AN132" s="89" t="s">
        <v>4718</v>
      </c>
    </row>
    <row r="133" spans="11:43"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4717</v>
      </c>
      <c r="AJ133" s="117">
        <v>-980000</v>
      </c>
      <c r="AK133" s="20">
        <v>0</v>
      </c>
      <c r="AL133" s="99">
        <f t="shared" si="26"/>
        <v>6</v>
      </c>
      <c r="AM133" s="117">
        <f t="shared" si="25"/>
        <v>-5880000</v>
      </c>
      <c r="AN133" s="20"/>
    </row>
    <row r="134" spans="11:43">
      <c r="Q134" s="96"/>
      <c r="R134" s="96"/>
      <c r="S134" s="96"/>
      <c r="T134" s="96"/>
      <c r="V134" s="96"/>
      <c r="X134" s="115"/>
      <c r="AH134" s="89">
        <v>114</v>
      </c>
      <c r="AI134" s="90" t="s">
        <v>4717</v>
      </c>
      <c r="AJ134" s="90">
        <v>13301790</v>
      </c>
      <c r="AK134" s="89">
        <v>0</v>
      </c>
      <c r="AL134" s="89">
        <f t="shared" si="26"/>
        <v>6</v>
      </c>
      <c r="AM134" s="90">
        <f t="shared" si="25"/>
        <v>79810740</v>
      </c>
      <c r="AN134" s="89" t="s">
        <v>4718</v>
      </c>
    </row>
    <row r="135" spans="11:43">
      <c r="Q135" s="96"/>
      <c r="R135" s="96"/>
      <c r="S135" s="96"/>
      <c r="T135" s="96"/>
      <c r="V135" s="96"/>
      <c r="AH135" s="20">
        <v>115</v>
      </c>
      <c r="AI135" s="117" t="s">
        <v>4717</v>
      </c>
      <c r="AJ135" s="117">
        <v>404000</v>
      </c>
      <c r="AK135" s="20">
        <v>5</v>
      </c>
      <c r="AL135" s="99">
        <f t="shared" si="26"/>
        <v>6</v>
      </c>
      <c r="AM135" s="117">
        <f t="shared" si="25"/>
        <v>2424000</v>
      </c>
      <c r="AN135" s="20" t="s">
        <v>4735</v>
      </c>
      <c r="AQ135" t="s">
        <v>25</v>
      </c>
    </row>
    <row r="136" spans="11:43">
      <c r="Q136" s="96"/>
      <c r="R136" s="96"/>
      <c r="S136" s="96"/>
      <c r="T136" s="96" t="s">
        <v>25</v>
      </c>
      <c r="V136" s="96"/>
      <c r="Y136" t="s">
        <v>25</v>
      </c>
      <c r="AH136" s="89">
        <v>116</v>
      </c>
      <c r="AI136" s="90" t="s">
        <v>4767</v>
      </c>
      <c r="AJ136" s="90">
        <v>4291628</v>
      </c>
      <c r="AK136" s="89">
        <v>1</v>
      </c>
      <c r="AL136" s="89">
        <f t="shared" si="26"/>
        <v>1</v>
      </c>
      <c r="AM136" s="90">
        <f t="shared" si="25"/>
        <v>4291628</v>
      </c>
      <c r="AN136" s="89" t="s">
        <v>4770</v>
      </c>
    </row>
    <row r="137" spans="11:43">
      <c r="Q137" s="96"/>
      <c r="R137" s="96"/>
      <c r="S137" s="96"/>
      <c r="T137" s="96"/>
      <c r="V137" s="96"/>
      <c r="Y137" t="s">
        <v>25</v>
      </c>
      <c r="Z137" t="s">
        <v>25</v>
      </c>
      <c r="AH137" s="99"/>
      <c r="AI137" s="113"/>
      <c r="AJ137" s="113"/>
      <c r="AK137" s="99"/>
      <c r="AL137" s="99">
        <f t="shared" si="26"/>
        <v>0</v>
      </c>
      <c r="AM137" s="117">
        <f t="shared" si="25"/>
        <v>0</v>
      </c>
      <c r="AN137" s="99"/>
    </row>
    <row r="138" spans="11:43">
      <c r="Q138" s="96"/>
      <c r="R138" s="96"/>
      <c r="S138" s="96"/>
      <c r="T138" s="99" t="s">
        <v>180</v>
      </c>
      <c r="U138" s="99" t="s">
        <v>4493</v>
      </c>
      <c r="V138" s="99" t="s">
        <v>4494</v>
      </c>
      <c r="W138" s="99" t="s">
        <v>4504</v>
      </c>
      <c r="X138" s="99" t="s">
        <v>8</v>
      </c>
      <c r="AH138" s="99"/>
      <c r="AI138" s="113"/>
      <c r="AJ138" s="113"/>
      <c r="AK138" s="99"/>
      <c r="AL138" s="99">
        <f t="shared" si="26"/>
        <v>0</v>
      </c>
      <c r="AM138" s="117">
        <f t="shared" si="25"/>
        <v>0</v>
      </c>
      <c r="AN138" s="99"/>
    </row>
    <row r="139" spans="11:43">
      <c r="Q139" s="36" t="s">
        <v>4590</v>
      </c>
      <c r="R139" s="95">
        <f>SUM(N42:N56)</f>
        <v>442547956.89999998</v>
      </c>
      <c r="T139" s="113" t="s">
        <v>4469</v>
      </c>
      <c r="U139" s="56">
        <v>1000000</v>
      </c>
      <c r="V139" s="113">
        <v>239.024</v>
      </c>
      <c r="W139" s="113">
        <f t="shared" ref="W139:W164" si="27">U139*V139</f>
        <v>239024000</v>
      </c>
      <c r="X139" s="99"/>
      <c r="AH139" s="99"/>
      <c r="AI139" s="113"/>
      <c r="AJ139" s="113"/>
      <c r="AK139" s="99"/>
      <c r="AL139" s="99">
        <f t="shared" si="20"/>
        <v>0</v>
      </c>
      <c r="AM139" s="117">
        <f t="shared" si="9"/>
        <v>0</v>
      </c>
      <c r="AN139" s="99"/>
    </row>
    <row r="140" spans="11:43">
      <c r="Q140" s="99" t="s">
        <v>4460</v>
      </c>
      <c r="R140" s="95">
        <f>SUM(N21:N24)</f>
        <v>25050337.5</v>
      </c>
      <c r="T140" s="168" t="s">
        <v>4451</v>
      </c>
      <c r="U140" s="56">
        <v>5904</v>
      </c>
      <c r="V140" s="113">
        <v>237.148</v>
      </c>
      <c r="W140" s="113">
        <f t="shared" si="27"/>
        <v>1400121.7919999999</v>
      </c>
      <c r="X140" s="99" t="s">
        <v>751</v>
      </c>
      <c r="AH140" s="99"/>
      <c r="AI140" s="99"/>
      <c r="AJ140" s="95">
        <f>SUM(AJ20:AJ139)</f>
        <v>449655040</v>
      </c>
      <c r="AK140" s="99"/>
      <c r="AL140" s="99"/>
      <c r="AM140" s="95">
        <f>SUM(AM20:AM139)</f>
        <v>39176017776</v>
      </c>
      <c r="AN140" s="95">
        <f>AM140*AN143/31</f>
        <v>25274850.178064514</v>
      </c>
    </row>
    <row r="141" spans="11:43">
      <c r="Q141" s="99" t="s">
        <v>4461</v>
      </c>
      <c r="R141" s="95">
        <f>SUM(N27:N29)</f>
        <v>3501332.2</v>
      </c>
      <c r="T141" s="168" t="s">
        <v>4233</v>
      </c>
      <c r="U141" s="168">
        <v>1000</v>
      </c>
      <c r="V141" s="113">
        <v>247.393</v>
      </c>
      <c r="W141" s="113">
        <f t="shared" si="27"/>
        <v>247393</v>
      </c>
      <c r="X141" s="99" t="s">
        <v>751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99" t="s">
        <v>4462</v>
      </c>
      <c r="R142" s="95">
        <f>N40</f>
        <v>83</v>
      </c>
      <c r="T142" s="168" t="s">
        <v>4506</v>
      </c>
      <c r="U142" s="168">
        <v>8071</v>
      </c>
      <c r="V142" s="113">
        <v>247.797</v>
      </c>
      <c r="W142" s="113">
        <f t="shared" si="27"/>
        <v>1999969.5870000001</v>
      </c>
      <c r="X142" s="99" t="s">
        <v>4458</v>
      </c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4463</v>
      </c>
      <c r="R143" s="95">
        <f>N20</f>
        <v>363</v>
      </c>
      <c r="T143" s="168" t="s">
        <v>4506</v>
      </c>
      <c r="U143" s="168">
        <v>53672</v>
      </c>
      <c r="V143" s="113">
        <v>247.797</v>
      </c>
      <c r="W143" s="113">
        <f t="shared" si="27"/>
        <v>13299760.584000001</v>
      </c>
      <c r="X143" s="99" t="s">
        <v>452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4464</v>
      </c>
      <c r="R144" s="95">
        <f>N26</f>
        <v>566</v>
      </c>
      <c r="T144" s="168" t="s">
        <v>4516</v>
      </c>
      <c r="U144" s="168">
        <v>4099</v>
      </c>
      <c r="V144" s="113">
        <v>243.93</v>
      </c>
      <c r="W144" s="113">
        <f t="shared" si="27"/>
        <v>999869.07000000007</v>
      </c>
      <c r="X144" s="99" t="s">
        <v>4458</v>
      </c>
      <c r="AH144" s="99"/>
      <c r="AI144" s="99"/>
      <c r="AJ144" s="99"/>
      <c r="AK144" s="99"/>
      <c r="AL144" s="99"/>
      <c r="AM144" s="99"/>
      <c r="AN144" s="99"/>
    </row>
    <row r="145" spans="16:44">
      <c r="P145" s="114"/>
      <c r="Q145" s="99" t="s">
        <v>4476</v>
      </c>
      <c r="R145" s="95">
        <v>1465221</v>
      </c>
      <c r="T145" s="168" t="s">
        <v>4516</v>
      </c>
      <c r="U145" s="168">
        <v>9301</v>
      </c>
      <c r="V145" s="113">
        <v>243.93</v>
      </c>
      <c r="W145" s="113">
        <f t="shared" si="27"/>
        <v>2268792.9300000002</v>
      </c>
      <c r="X145" s="99" t="s">
        <v>452</v>
      </c>
      <c r="AH145" s="99"/>
      <c r="AI145" s="99" t="s">
        <v>4062</v>
      </c>
      <c r="AJ145" s="95">
        <f>AJ140+AN140</f>
        <v>474929890.17806453</v>
      </c>
      <c r="AK145" s="99"/>
      <c r="AL145" s="99"/>
      <c r="AM145" s="99"/>
      <c r="AN145" s="99"/>
    </row>
    <row r="146" spans="16:44">
      <c r="Q146" s="99" t="s">
        <v>4725</v>
      </c>
      <c r="R146" s="95">
        <v>410000</v>
      </c>
      <c r="T146" s="168" t="s">
        <v>4524</v>
      </c>
      <c r="U146" s="168">
        <v>8334</v>
      </c>
      <c r="V146" s="113">
        <v>239.97</v>
      </c>
      <c r="W146" s="113">
        <f t="shared" si="27"/>
        <v>1999909.98</v>
      </c>
      <c r="X146" s="99" t="s">
        <v>4458</v>
      </c>
      <c r="AI146" t="s">
        <v>4065</v>
      </c>
      <c r="AJ146" s="114">
        <f>SUM(N40:N56)</f>
        <v>442548039.89999998</v>
      </c>
      <c r="AR146" t="s">
        <v>25</v>
      </c>
    </row>
    <row r="147" spans="16:44">
      <c r="P147" s="114"/>
      <c r="Q147" s="99" t="s">
        <v>4762</v>
      </c>
      <c r="R147" s="95">
        <v>-5534</v>
      </c>
      <c r="T147" s="168" t="s">
        <v>4232</v>
      </c>
      <c r="U147" s="168">
        <v>29041</v>
      </c>
      <c r="V147" s="113">
        <v>233.45</v>
      </c>
      <c r="W147" s="113">
        <f t="shared" si="27"/>
        <v>6779621.4499999993</v>
      </c>
      <c r="X147" s="99" t="s">
        <v>751</v>
      </c>
      <c r="AI147" t="s">
        <v>4137</v>
      </c>
      <c r="AJ147" s="114">
        <f>AJ146-AJ140</f>
        <v>-7107000.1000000238</v>
      </c>
      <c r="AM147" t="s">
        <v>25</v>
      </c>
    </row>
    <row r="148" spans="16:44">
      <c r="Q148" s="99" t="s">
        <v>4468</v>
      </c>
      <c r="R148" s="95">
        <f>SUM(R139:R147)</f>
        <v>472970325.59999996</v>
      </c>
      <c r="S148" s="115"/>
      <c r="T148" s="168" t="s">
        <v>994</v>
      </c>
      <c r="U148" s="168">
        <v>12337</v>
      </c>
      <c r="V148" s="113">
        <v>243.16300000000001</v>
      </c>
      <c r="W148" s="113">
        <f t="shared" si="27"/>
        <v>2999901.9310000003</v>
      </c>
      <c r="X148" s="99" t="s">
        <v>4458</v>
      </c>
      <c r="AI148" t="s">
        <v>943</v>
      </c>
      <c r="AJ148" s="114">
        <f>AN140</f>
        <v>25274850.178064514</v>
      </c>
    </row>
    <row r="149" spans="16:44">
      <c r="Q149" s="96"/>
      <c r="S149" s="122"/>
      <c r="T149" s="168" t="s">
        <v>4617</v>
      </c>
      <c r="U149" s="168">
        <v>-16118</v>
      </c>
      <c r="V149" s="113">
        <v>248.17</v>
      </c>
      <c r="W149" s="113">
        <f t="shared" si="27"/>
        <v>-4000004.0599999996</v>
      </c>
      <c r="X149" s="99" t="s">
        <v>751</v>
      </c>
      <c r="AI149" t="s">
        <v>4066</v>
      </c>
      <c r="AJ149" s="114">
        <f>AJ146-AJ145</f>
        <v>-32381850.278064549</v>
      </c>
    </row>
    <row r="150" spans="16:44">
      <c r="Q150" s="96"/>
      <c r="R150" s="183"/>
      <c r="S150" s="115"/>
      <c r="T150" s="168" t="s">
        <v>4648</v>
      </c>
      <c r="U150" s="168">
        <v>101681</v>
      </c>
      <c r="V150" s="113">
        <v>246.5711</v>
      </c>
      <c r="W150" s="113">
        <f t="shared" si="27"/>
        <v>25071596.019099999</v>
      </c>
      <c r="X150" s="99" t="s">
        <v>452</v>
      </c>
      <c r="AM150" t="s">
        <v>25</v>
      </c>
    </row>
    <row r="151" spans="16:44">
      <c r="Q151" s="96"/>
      <c r="R151" s="183"/>
      <c r="S151" s="115"/>
      <c r="T151" s="168" t="s">
        <v>4654</v>
      </c>
      <c r="U151" s="168">
        <v>66606</v>
      </c>
      <c r="V151" s="113">
        <v>251.131</v>
      </c>
      <c r="W151" s="113">
        <f t="shared" si="27"/>
        <v>16726831.386</v>
      </c>
      <c r="X151" s="99" t="s">
        <v>751</v>
      </c>
      <c r="AJ151" t="s">
        <v>25</v>
      </c>
    </row>
    <row r="152" spans="16:44">
      <c r="Q152" s="96"/>
      <c r="R152" s="115"/>
      <c r="T152" s="168" t="s">
        <v>4664</v>
      </c>
      <c r="U152" s="168">
        <v>172025</v>
      </c>
      <c r="V152" s="113">
        <v>245.52809999999999</v>
      </c>
      <c r="W152" s="113">
        <f t="shared" si="27"/>
        <v>42236971.402499996</v>
      </c>
      <c r="X152" s="99" t="s">
        <v>452</v>
      </c>
    </row>
    <row r="153" spans="16:44">
      <c r="T153" s="168" t="s">
        <v>4664</v>
      </c>
      <c r="U153" s="168">
        <v>189227</v>
      </c>
      <c r="V153" s="113">
        <v>245.52809999999999</v>
      </c>
      <c r="W153" s="113">
        <f t="shared" si="27"/>
        <v>46460545.778700002</v>
      </c>
      <c r="X153" s="99" t="s">
        <v>751</v>
      </c>
    </row>
    <row r="154" spans="16:44">
      <c r="Q154" s="99" t="s">
        <v>4458</v>
      </c>
      <c r="R154" s="99"/>
      <c r="T154" s="168" t="s">
        <v>4667</v>
      </c>
      <c r="U154" s="168">
        <v>79720</v>
      </c>
      <c r="V154" s="113">
        <v>246.6568</v>
      </c>
      <c r="W154" s="113">
        <f t="shared" si="27"/>
        <v>19663480.096000001</v>
      </c>
      <c r="X154" s="99" t="s">
        <v>452</v>
      </c>
    </row>
    <row r="155" spans="16:44">
      <c r="Q155" s="36" t="s">
        <v>180</v>
      </c>
      <c r="R155" s="99" t="s">
        <v>267</v>
      </c>
      <c r="T155" s="168" t="s">
        <v>4667</v>
      </c>
      <c r="U155" s="168">
        <v>79720</v>
      </c>
      <c r="V155" s="113">
        <v>246.6568</v>
      </c>
      <c r="W155" s="113">
        <f t="shared" si="27"/>
        <v>19663480.096000001</v>
      </c>
      <c r="X155" s="99" t="s">
        <v>751</v>
      </c>
    </row>
    <row r="156" spans="16:44">
      <c r="Q156" s="99" t="s">
        <v>4451</v>
      </c>
      <c r="R156" s="95">
        <v>3000000</v>
      </c>
      <c r="T156" s="168" t="s">
        <v>4697</v>
      </c>
      <c r="U156" s="168">
        <v>17769</v>
      </c>
      <c r="V156" s="113">
        <v>246.17877999999999</v>
      </c>
      <c r="W156" s="113">
        <f t="shared" si="27"/>
        <v>4374350.7418200001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4506</v>
      </c>
      <c r="R157" s="95">
        <v>2000000</v>
      </c>
      <c r="T157" s="168" t="s">
        <v>4697</v>
      </c>
      <c r="U157" s="168">
        <v>17769</v>
      </c>
      <c r="V157" s="113">
        <v>246.17877999999999</v>
      </c>
      <c r="W157" s="113">
        <f t="shared" si="27"/>
        <v>4374350.7418200001</v>
      </c>
      <c r="X157" s="99" t="s">
        <v>452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99" t="s">
        <v>4516</v>
      </c>
      <c r="R158" s="95">
        <v>1000000</v>
      </c>
      <c r="T158" s="168" t="s">
        <v>4703</v>
      </c>
      <c r="U158" s="168">
        <v>12438</v>
      </c>
      <c r="V158" s="113">
        <v>241.20465999999999</v>
      </c>
      <c r="W158" s="113">
        <f t="shared" si="27"/>
        <v>3000103.5610799999</v>
      </c>
      <c r="X158" s="99" t="s">
        <v>4458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28">AK158+AL159</f>
        <v>185</v>
      </c>
      <c r="AM158" s="99">
        <f t="shared" ref="AM158:AM187" si="29">AJ158*AL158</f>
        <v>318354845</v>
      </c>
      <c r="AN158" s="99" t="s">
        <v>4318</v>
      </c>
    </row>
    <row r="159" spans="16:44">
      <c r="Q159" s="99" t="s">
        <v>4524</v>
      </c>
      <c r="R159" s="95">
        <v>2000000</v>
      </c>
      <c r="T159" s="168" t="s">
        <v>4713</v>
      </c>
      <c r="U159" s="168">
        <v>27363</v>
      </c>
      <c r="V159" s="113">
        <v>239.3886</v>
      </c>
      <c r="W159" s="113">
        <f t="shared" si="27"/>
        <v>6550390.2617999995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28"/>
        <v>134</v>
      </c>
      <c r="AM159" s="99">
        <f t="shared" si="29"/>
        <v>20100000</v>
      </c>
      <c r="AN159" s="99"/>
    </row>
    <row r="160" spans="16:44">
      <c r="Q160" s="99" t="s">
        <v>994</v>
      </c>
      <c r="R160" s="95">
        <v>3000000</v>
      </c>
      <c r="T160" s="168" t="s">
        <v>4713</v>
      </c>
      <c r="U160" s="168">
        <v>27363</v>
      </c>
      <c r="V160" s="113">
        <v>239.3886</v>
      </c>
      <c r="W160" s="113">
        <f t="shared" si="27"/>
        <v>6550390.2617999995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28"/>
        <v>131</v>
      </c>
      <c r="AM160" s="99">
        <f t="shared" si="29"/>
        <v>-12445000</v>
      </c>
      <c r="AN160" s="99"/>
    </row>
    <row r="161" spans="17:40">
      <c r="Q161" s="99" t="s">
        <v>4703</v>
      </c>
      <c r="R161" s="95">
        <v>3000000</v>
      </c>
      <c r="T161" s="215" t="s">
        <v>4717</v>
      </c>
      <c r="U161" s="215">
        <v>27437</v>
      </c>
      <c r="V161" s="113">
        <v>242.4015</v>
      </c>
      <c r="W161" s="113">
        <f t="shared" si="27"/>
        <v>6650769.9555000002</v>
      </c>
      <c r="X161" s="99" t="s">
        <v>751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28"/>
        <v>123</v>
      </c>
      <c r="AM161" s="99">
        <f t="shared" si="29"/>
        <v>387450000</v>
      </c>
      <c r="AN161" s="99"/>
    </row>
    <row r="162" spans="17:40">
      <c r="Q162" s="99"/>
      <c r="R162" s="95"/>
      <c r="T162" s="215" t="s">
        <v>4717</v>
      </c>
      <c r="U162" s="215">
        <v>29104</v>
      </c>
      <c r="V162" s="113">
        <v>242.4015</v>
      </c>
      <c r="W162" s="113">
        <f t="shared" si="27"/>
        <v>7054853.2560000001</v>
      </c>
      <c r="X162" s="99" t="s">
        <v>452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28"/>
        <v>107</v>
      </c>
      <c r="AM162" s="99">
        <f t="shared" si="29"/>
        <v>-6955000</v>
      </c>
      <c r="AN162" s="99"/>
    </row>
    <row r="163" spans="17:40">
      <c r="Q163" s="99"/>
      <c r="R163" s="95"/>
      <c r="T163" s="219" t="s">
        <v>4767</v>
      </c>
      <c r="U163" s="219">
        <v>8991</v>
      </c>
      <c r="V163" s="113">
        <v>238.64867000000001</v>
      </c>
      <c r="W163" s="113">
        <f t="shared" si="27"/>
        <v>2145690.19197</v>
      </c>
      <c r="X163" s="99" t="s">
        <v>751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28"/>
        <v>106</v>
      </c>
      <c r="AM163" s="99">
        <f t="shared" si="29"/>
        <v>-10070000</v>
      </c>
      <c r="AN163" s="99"/>
    </row>
    <row r="164" spans="17:40">
      <c r="Q164" s="99"/>
      <c r="R164" s="95">
        <f>SUM(R156:R161)</f>
        <v>14000000</v>
      </c>
      <c r="T164" s="219" t="s">
        <v>4767</v>
      </c>
      <c r="U164" s="219">
        <v>8991</v>
      </c>
      <c r="V164" s="113">
        <v>238.64867000000001</v>
      </c>
      <c r="W164" s="113">
        <f t="shared" si="27"/>
        <v>2145690.19197</v>
      </c>
      <c r="X164" s="99" t="s">
        <v>452</v>
      </c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28"/>
        <v>100</v>
      </c>
      <c r="AM164" s="99">
        <f t="shared" si="29"/>
        <v>23200000</v>
      </c>
      <c r="AN164" s="99"/>
    </row>
    <row r="165" spans="17:40">
      <c r="Q165" s="99"/>
      <c r="R165" s="99" t="s">
        <v>6</v>
      </c>
      <c r="T165" s="168"/>
      <c r="U165" s="168"/>
      <c r="V165" s="113"/>
      <c r="W165" s="113"/>
      <c r="X165" s="99"/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28"/>
        <v>93</v>
      </c>
      <c r="AM165" s="99">
        <f t="shared" si="29"/>
        <v>1209000000</v>
      </c>
      <c r="AN165" s="99"/>
    </row>
    <row r="166" spans="17:40">
      <c r="S166" t="s">
        <v>25</v>
      </c>
      <c r="T166" s="168"/>
      <c r="U166" s="168"/>
      <c r="V166" s="113"/>
      <c r="W166" s="113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28"/>
        <v>91</v>
      </c>
      <c r="AM166" s="99">
        <f t="shared" si="29"/>
        <v>910000000</v>
      </c>
      <c r="AN166" s="99"/>
    </row>
    <row r="167" spans="17:40">
      <c r="Q167" s="96"/>
      <c r="R167" s="96"/>
      <c r="T167" s="168"/>
      <c r="U167" s="168">
        <f>SUM(U139:U166)</f>
        <v>1981845</v>
      </c>
      <c r="V167" s="99"/>
      <c r="W167" s="99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28"/>
        <v>88</v>
      </c>
      <c r="AM167" s="99">
        <f t="shared" si="29"/>
        <v>299200000</v>
      </c>
      <c r="AN167" s="99"/>
    </row>
    <row r="168" spans="17:40">
      <c r="Q168" s="96"/>
      <c r="R168" s="96"/>
      <c r="T168" s="99"/>
      <c r="U168" s="99" t="s">
        <v>6</v>
      </c>
      <c r="V168" s="99"/>
      <c r="W168" s="99"/>
      <c r="X168" s="99"/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29"/>
        <v>-690184606</v>
      </c>
      <c r="AN168" s="99"/>
    </row>
    <row r="169" spans="17:40">
      <c r="T169" s="202" t="s">
        <v>4495</v>
      </c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0">AK169+AL170</f>
        <v>78</v>
      </c>
      <c r="AM169" s="99">
        <f t="shared" si="29"/>
        <v>43290000</v>
      </c>
      <c r="AN169" s="99"/>
    </row>
    <row r="170" spans="17:40">
      <c r="Q170" s="99" t="s">
        <v>751</v>
      </c>
      <c r="R170" s="99"/>
      <c r="T170" s="201">
        <f>R148/U167</f>
        <v>238.65152199087211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0"/>
        <v>73</v>
      </c>
      <c r="AM170" s="99">
        <f t="shared" si="29"/>
        <v>-32726484</v>
      </c>
      <c r="AN170" s="99"/>
    </row>
    <row r="171" spans="17:40">
      <c r="Q171" s="99" t="s">
        <v>4451</v>
      </c>
      <c r="R171" s="95">
        <v>172908000</v>
      </c>
      <c r="W171" s="114"/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0"/>
        <v>67</v>
      </c>
      <c r="AM171" s="99">
        <f t="shared" si="29"/>
        <v>2226075</v>
      </c>
      <c r="AN171" s="99"/>
    </row>
    <row r="172" spans="17:40">
      <c r="Q172" s="99" t="s">
        <v>4492</v>
      </c>
      <c r="R172" s="95">
        <v>1400000</v>
      </c>
      <c r="U172" s="96" t="s">
        <v>267</v>
      </c>
      <c r="V172" t="s">
        <v>4496</v>
      </c>
      <c r="AH172" s="149">
        <v>16</v>
      </c>
      <c r="AI172" s="149" t="s">
        <v>4410</v>
      </c>
      <c r="AJ172" s="190">
        <v>4098523</v>
      </c>
      <c r="AK172" s="149">
        <v>2</v>
      </c>
      <c r="AL172" s="149">
        <f t="shared" si="30"/>
        <v>67</v>
      </c>
      <c r="AM172" s="149">
        <f t="shared" si="29"/>
        <v>274601041</v>
      </c>
      <c r="AN172" s="149" t="s">
        <v>657</v>
      </c>
    </row>
    <row r="173" spans="17:40">
      <c r="Q173" s="99" t="s">
        <v>4233</v>
      </c>
      <c r="R173" s="95">
        <v>247393</v>
      </c>
      <c r="T173" s="114"/>
      <c r="U173" s="113">
        <v>2145814</v>
      </c>
      <c r="V173">
        <f>U173/T170</f>
        <v>8991.4113352357854</v>
      </c>
      <c r="X173" t="s">
        <v>25</v>
      </c>
      <c r="AH173" s="149">
        <v>17</v>
      </c>
      <c r="AI173" s="149" t="s">
        <v>4424</v>
      </c>
      <c r="AJ173" s="190">
        <v>-1000000</v>
      </c>
      <c r="AK173" s="149">
        <v>7</v>
      </c>
      <c r="AL173" s="149">
        <f t="shared" si="30"/>
        <v>65</v>
      </c>
      <c r="AM173" s="149">
        <f t="shared" si="29"/>
        <v>-65000000</v>
      </c>
      <c r="AN173" s="149" t="s">
        <v>657</v>
      </c>
    </row>
    <row r="174" spans="17:40">
      <c r="Q174" s="99" t="s">
        <v>4232</v>
      </c>
      <c r="R174" s="95">
        <v>6780000</v>
      </c>
      <c r="X174" t="s">
        <v>25</v>
      </c>
      <c r="Y174" t="s">
        <v>25</v>
      </c>
      <c r="AH174" s="149">
        <v>18</v>
      </c>
      <c r="AI174" s="149" t="s">
        <v>4447</v>
      </c>
      <c r="AJ174" s="190">
        <v>750000</v>
      </c>
      <c r="AK174" s="149">
        <v>1</v>
      </c>
      <c r="AL174" s="149">
        <f t="shared" si="30"/>
        <v>58</v>
      </c>
      <c r="AM174" s="149">
        <f t="shared" si="29"/>
        <v>43500000</v>
      </c>
      <c r="AN174" s="149" t="s">
        <v>657</v>
      </c>
    </row>
    <row r="175" spans="17:40">
      <c r="Q175" s="99" t="s">
        <v>4617</v>
      </c>
      <c r="R175" s="95">
        <v>-4000000</v>
      </c>
      <c r="X175" t="s">
        <v>25</v>
      </c>
      <c r="AH175" s="197">
        <v>19</v>
      </c>
      <c r="AI175" s="197" t="s">
        <v>4449</v>
      </c>
      <c r="AJ175" s="198">
        <v>-604152</v>
      </c>
      <c r="AK175" s="197">
        <v>0</v>
      </c>
      <c r="AL175" s="197">
        <f t="shared" si="30"/>
        <v>57</v>
      </c>
      <c r="AM175" s="197">
        <f t="shared" si="29"/>
        <v>-34436664</v>
      </c>
      <c r="AN175" s="197" t="s">
        <v>657</v>
      </c>
    </row>
    <row r="176" spans="17:40">
      <c r="Q176" s="99" t="s">
        <v>4654</v>
      </c>
      <c r="R176" s="95">
        <v>16727037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0"/>
        <v>57</v>
      </c>
      <c r="AM176" s="99">
        <f t="shared" si="29"/>
        <v>-33463731</v>
      </c>
      <c r="AN176" s="99"/>
    </row>
    <row r="177" spans="17:44">
      <c r="Q177" s="99" t="s">
        <v>4664</v>
      </c>
      <c r="R177" s="95">
        <v>46460683</v>
      </c>
      <c r="AH177" s="197">
        <v>21</v>
      </c>
      <c r="AI177" s="197" t="s">
        <v>4451</v>
      </c>
      <c r="AJ177" s="198">
        <v>-754351</v>
      </c>
      <c r="AK177" s="197">
        <v>0</v>
      </c>
      <c r="AL177" s="149">
        <f t="shared" si="30"/>
        <v>53</v>
      </c>
      <c r="AM177" s="197">
        <f t="shared" si="29"/>
        <v>-39980603</v>
      </c>
      <c r="AN177" s="197" t="s">
        <v>657</v>
      </c>
    </row>
    <row r="178" spans="17:44" ht="60">
      <c r="Q178" s="99" t="s">
        <v>4667</v>
      </c>
      <c r="R178" s="95">
        <v>19663646</v>
      </c>
      <c r="T178" s="22" t="s">
        <v>4479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0"/>
        <v>53</v>
      </c>
      <c r="AM178" s="99">
        <f t="shared" si="29"/>
        <v>-10049807</v>
      </c>
      <c r="AN178" s="99"/>
    </row>
    <row r="179" spans="17:44" ht="45">
      <c r="Q179" s="99" t="s">
        <v>4697</v>
      </c>
      <c r="R179" s="95">
        <v>4374525</v>
      </c>
      <c r="S179" t="s">
        <v>25</v>
      </c>
      <c r="T179" s="22" t="s">
        <v>4480</v>
      </c>
      <c r="AH179" s="197">
        <v>23</v>
      </c>
      <c r="AI179" s="197" t="s">
        <v>4528</v>
      </c>
      <c r="AJ179" s="190">
        <v>7100</v>
      </c>
      <c r="AK179" s="197">
        <v>0</v>
      </c>
      <c r="AL179" s="149">
        <f t="shared" si="30"/>
        <v>38</v>
      </c>
      <c r="AM179" s="197">
        <f t="shared" si="29"/>
        <v>269800</v>
      </c>
      <c r="AN179" s="197" t="s">
        <v>657</v>
      </c>
    </row>
    <row r="180" spans="17:44">
      <c r="Q180" s="99" t="s">
        <v>4713</v>
      </c>
      <c r="R180" s="95">
        <v>6550580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0"/>
        <v>38</v>
      </c>
      <c r="AM180" s="20">
        <f t="shared" si="29"/>
        <v>-5620276</v>
      </c>
      <c r="AN180" s="20"/>
      <c r="AR180" t="s">
        <v>25</v>
      </c>
    </row>
    <row r="181" spans="17:44">
      <c r="Q181" s="99" t="s">
        <v>4717</v>
      </c>
      <c r="R181" s="95">
        <v>6650895</v>
      </c>
      <c r="AH181" s="149">
        <v>25</v>
      </c>
      <c r="AI181" s="149" t="s">
        <v>4536</v>
      </c>
      <c r="AJ181" s="190">
        <v>-37200</v>
      </c>
      <c r="AK181" s="149">
        <v>4</v>
      </c>
      <c r="AL181" s="149">
        <f t="shared" si="30"/>
        <v>35</v>
      </c>
      <c r="AM181" s="197">
        <f t="shared" si="29"/>
        <v>-1302000</v>
      </c>
      <c r="AN181" s="149" t="s">
        <v>657</v>
      </c>
    </row>
    <row r="182" spans="17:44">
      <c r="Q182" s="99" t="s">
        <v>4767</v>
      </c>
      <c r="R182" s="95">
        <v>2145814</v>
      </c>
      <c r="T182" s="99" t="s">
        <v>4497</v>
      </c>
      <c r="U182" s="99" t="s">
        <v>4468</v>
      </c>
      <c r="V182" s="99" t="s">
        <v>953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0"/>
        <v>31</v>
      </c>
      <c r="AM182" s="20">
        <f t="shared" si="29"/>
        <v>-11542106</v>
      </c>
      <c r="AN182" s="99"/>
    </row>
    <row r="183" spans="17:44">
      <c r="Q183" s="99"/>
      <c r="R183" s="95"/>
      <c r="S183" t="s">
        <v>25</v>
      </c>
      <c r="T183" s="95">
        <f>R164+R185+R202</f>
        <v>479690629</v>
      </c>
      <c r="U183" s="95">
        <f>R148</f>
        <v>472970325.59999996</v>
      </c>
      <c r="V183" s="95">
        <f>U183-T183</f>
        <v>-6720303.4000000358</v>
      </c>
      <c r="AH183" s="99">
        <v>27</v>
      </c>
      <c r="AI183" s="99" t="s">
        <v>4633</v>
      </c>
      <c r="AJ183" s="117">
        <v>235062</v>
      </c>
      <c r="AK183" s="99">
        <v>0</v>
      </c>
      <c r="AL183" s="99">
        <f t="shared" si="30"/>
        <v>10</v>
      </c>
      <c r="AM183" s="20">
        <f t="shared" si="29"/>
        <v>2350620</v>
      </c>
      <c r="AN183" s="99"/>
    </row>
    <row r="184" spans="17:44">
      <c r="Q184" s="99"/>
      <c r="R184" s="95"/>
      <c r="AH184" s="149">
        <v>28</v>
      </c>
      <c r="AI184" s="149" t="s">
        <v>4633</v>
      </c>
      <c r="AJ184" s="190">
        <v>235062</v>
      </c>
      <c r="AK184" s="149">
        <v>9</v>
      </c>
      <c r="AL184" s="99">
        <f t="shared" si="30"/>
        <v>10</v>
      </c>
      <c r="AM184" s="149">
        <f t="shared" si="29"/>
        <v>2350620</v>
      </c>
      <c r="AN184" s="149" t="s">
        <v>657</v>
      </c>
    </row>
    <row r="185" spans="17:44">
      <c r="Q185" s="99"/>
      <c r="R185" s="95">
        <f>SUM(R171:R182)</f>
        <v>279908573</v>
      </c>
      <c r="AH185" s="149">
        <v>29</v>
      </c>
      <c r="AI185" s="149" t="s">
        <v>4667</v>
      </c>
      <c r="AJ185" s="190">
        <v>450000</v>
      </c>
      <c r="AK185" s="149">
        <v>0</v>
      </c>
      <c r="AL185" s="99">
        <f t="shared" si="30"/>
        <v>1</v>
      </c>
      <c r="AM185" s="149">
        <f t="shared" si="29"/>
        <v>450000</v>
      </c>
      <c r="AN185" s="149" t="s">
        <v>657</v>
      </c>
    </row>
    <row r="186" spans="17:44">
      <c r="Q186" s="99"/>
      <c r="R186" s="99" t="s">
        <v>6</v>
      </c>
      <c r="AH186" s="20">
        <v>30</v>
      </c>
      <c r="AI186" s="20" t="s">
        <v>4667</v>
      </c>
      <c r="AJ186" s="117">
        <v>450000</v>
      </c>
      <c r="AK186" s="20">
        <v>1</v>
      </c>
      <c r="AL186" s="99">
        <f t="shared" si="30"/>
        <v>1</v>
      </c>
      <c r="AM186" s="20">
        <f t="shared" si="29"/>
        <v>450000</v>
      </c>
      <c r="AN186" s="20"/>
    </row>
    <row r="187" spans="17:44">
      <c r="AH187" s="99"/>
      <c r="AI187" s="99"/>
      <c r="AJ187" s="117"/>
      <c r="AK187" s="99"/>
      <c r="AL187" s="99">
        <f t="shared" si="30"/>
        <v>0</v>
      </c>
      <c r="AM187" s="20">
        <f t="shared" si="29"/>
        <v>0</v>
      </c>
      <c r="AN187" s="99"/>
    </row>
    <row r="188" spans="17:44">
      <c r="AH188" s="99"/>
      <c r="AI188" s="99"/>
      <c r="AJ188" s="117"/>
      <c r="AK188" s="99"/>
      <c r="AL188" s="99"/>
      <c r="AM188" s="99"/>
      <c r="AN188" s="99"/>
    </row>
    <row r="189" spans="17:44">
      <c r="Q189" s="99" t="s">
        <v>452</v>
      </c>
      <c r="R189" s="99"/>
      <c r="T189" t="s">
        <v>25</v>
      </c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Q190" s="99" t="s">
        <v>4451</v>
      </c>
      <c r="R190" s="95">
        <v>63115000</v>
      </c>
      <c r="AJ190" t="s">
        <v>4060</v>
      </c>
      <c r="AM190" t="s">
        <v>284</v>
      </c>
      <c r="AN190" t="s">
        <v>943</v>
      </c>
    </row>
    <row r="191" spans="17:44">
      <c r="Q191" s="99" t="s">
        <v>4506</v>
      </c>
      <c r="R191" s="95">
        <v>13300000</v>
      </c>
      <c r="T191" t="s">
        <v>25</v>
      </c>
    </row>
    <row r="192" spans="17:44">
      <c r="Q192" s="99" t="s">
        <v>4516</v>
      </c>
      <c r="R192" s="95">
        <v>2269000</v>
      </c>
      <c r="AI192" t="s">
        <v>4062</v>
      </c>
      <c r="AJ192" s="114">
        <f>AJ189+AN189</f>
        <v>30985628.879999999</v>
      </c>
    </row>
    <row r="193" spans="17:40">
      <c r="Q193" s="99" t="s">
        <v>4648</v>
      </c>
      <c r="R193" s="95">
        <v>25071612</v>
      </c>
      <c r="AI193" t="s">
        <v>4065</v>
      </c>
      <c r="AJ193" s="114">
        <f>SUM(N20:N29)</f>
        <v>28552598.700000003</v>
      </c>
    </row>
    <row r="194" spans="17:40">
      <c r="Q194" s="99" t="s">
        <v>4664</v>
      </c>
      <c r="R194" s="95">
        <v>42236984</v>
      </c>
      <c r="AI194" t="s">
        <v>4137</v>
      </c>
      <c r="AJ194" s="114">
        <f>AJ193-AJ189</f>
        <v>-337575.29999999702</v>
      </c>
    </row>
    <row r="195" spans="17:40">
      <c r="Q195" s="99" t="s">
        <v>4667</v>
      </c>
      <c r="R195" s="95">
        <v>19663646</v>
      </c>
      <c r="S195" t="s">
        <v>25</v>
      </c>
      <c r="T195" t="s">
        <v>25</v>
      </c>
      <c r="AI195" t="s">
        <v>943</v>
      </c>
      <c r="AJ195" s="114">
        <f>AN189</f>
        <v>2095454.8800000001</v>
      </c>
    </row>
    <row r="196" spans="17:40">
      <c r="Q196" s="99" t="s">
        <v>4697</v>
      </c>
      <c r="R196" s="95">
        <v>4374525</v>
      </c>
      <c r="AI196" t="s">
        <v>4066</v>
      </c>
      <c r="AJ196" s="114">
        <f>AJ194-AJ195</f>
        <v>-2433030.1799999969</v>
      </c>
      <c r="AN196" t="s">
        <v>25</v>
      </c>
    </row>
    <row r="197" spans="17:40">
      <c r="Q197" s="99" t="s">
        <v>4713</v>
      </c>
      <c r="R197" s="95">
        <v>6550580</v>
      </c>
      <c r="AN197" t="s">
        <v>25</v>
      </c>
    </row>
    <row r="198" spans="17:40">
      <c r="Q198" s="99" t="s">
        <v>4717</v>
      </c>
      <c r="R198" s="95">
        <v>7054895</v>
      </c>
    </row>
    <row r="199" spans="17:40">
      <c r="Q199" s="99" t="s">
        <v>4767</v>
      </c>
      <c r="R199" s="95">
        <v>2145814</v>
      </c>
      <c r="T199" t="s">
        <v>25</v>
      </c>
    </row>
    <row r="200" spans="17:40">
      <c r="Q200" s="99"/>
      <c r="R200" s="95"/>
    </row>
    <row r="201" spans="17:40">
      <c r="Q201" s="99"/>
      <c r="R201" s="95"/>
    </row>
    <row r="202" spans="17:40">
      <c r="Q202" s="99"/>
      <c r="R202" s="95">
        <f>SUM(R190:R199)</f>
        <v>185782056</v>
      </c>
    </row>
    <row r="203" spans="17:40">
      <c r="Q203" s="99"/>
      <c r="R203" s="99" t="s">
        <v>6</v>
      </c>
      <c r="T203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6 S78 S84 S88:S90 S93 S99:S100 S107 S9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7"/>
  <sheetViews>
    <sheetView tabSelected="1" topLeftCell="L1" workbookViewId="0">
      <selection activeCell="Z23" sqref="Z23:Z24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4675</v>
      </c>
      <c r="AE1" s="168" t="s">
        <v>4676</v>
      </c>
    </row>
    <row r="2" spans="1:31">
      <c r="A2" s="99" t="s">
        <v>4244</v>
      </c>
      <c r="B2" s="205">
        <v>1707</v>
      </c>
      <c r="C2" s="207" t="s">
        <v>4636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4608</v>
      </c>
      <c r="B3" s="205">
        <v>1184</v>
      </c>
      <c r="C3" s="207" t="s">
        <v>4614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4" si="2">AB3/Y3</f>
        <v>0.57449014863463521</v>
      </c>
    </row>
    <row r="4" spans="1:31">
      <c r="A4" s="99" t="s">
        <v>4609</v>
      </c>
      <c r="B4" s="205">
        <v>1804</v>
      </c>
      <c r="C4" s="207" t="s">
        <v>4615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4643</v>
      </c>
      <c r="L5" s="113">
        <v>0</v>
      </c>
      <c r="M5" s="168">
        <v>3</v>
      </c>
      <c r="N5" s="113">
        <f t="shared" ref="N5" si="3">L5*M5</f>
        <v>0</v>
      </c>
      <c r="O5" s="99" t="s">
        <v>4647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4654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4581</v>
      </c>
      <c r="B7" s="205">
        <v>1689</v>
      </c>
      <c r="C7" s="169"/>
      <c r="D7" s="99"/>
      <c r="F7" s="114">
        <v>0</v>
      </c>
      <c r="G7" s="96"/>
      <c r="H7" s="96"/>
      <c r="I7" s="96"/>
      <c r="J7" s="168">
        <v>6</v>
      </c>
      <c r="K7" s="168" t="s">
        <v>4654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4654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4657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4654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4658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4654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4664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4664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197142</v>
      </c>
      <c r="C12" s="169"/>
      <c r="D12" s="59" t="s">
        <v>4766</v>
      </c>
      <c r="F12" s="114">
        <v>0</v>
      </c>
      <c r="G12" t="s">
        <v>25</v>
      </c>
      <c r="J12" s="168">
        <v>11</v>
      </c>
      <c r="K12" s="168" t="s">
        <v>4697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4667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4697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4667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4713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4684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4638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197142</v>
      </c>
      <c r="J15" s="168">
        <v>14</v>
      </c>
      <c r="K15" s="168" t="s">
        <v>4713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4684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4717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4703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4717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4717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4767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4717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4767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4748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4748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4759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19" t="s">
        <v>4767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19" t="s">
        <v>4772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4397</v>
      </c>
      <c r="AB23" s="117">
        <v>3115.9</v>
      </c>
      <c r="AC23" s="19">
        <v>1305</v>
      </c>
      <c r="AD23" s="199">
        <f>Y23/AB23</f>
        <v>1377.3317500561634</v>
      </c>
      <c r="AE23" s="219">
        <f t="shared" si="2"/>
        <v>7.2604149287869312E-4</v>
      </c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M24" s="113">
        <f>N22/M22</f>
        <v>4031282.8823529412</v>
      </c>
      <c r="W24" s="168" t="s">
        <v>4772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4609</v>
      </c>
      <c r="AB24" s="117">
        <v>178.1</v>
      </c>
      <c r="AC24" s="19">
        <v>1148</v>
      </c>
      <c r="AD24" s="19">
        <f>Y24/AB24</f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AC26" t="s">
        <v>25</v>
      </c>
    </row>
    <row r="27" spans="1:31">
      <c r="A27" s="99"/>
      <c r="B27" s="205"/>
      <c r="C27" s="169"/>
      <c r="D27" s="99" t="s">
        <v>4525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4771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4586</v>
      </c>
      <c r="B31" s="205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4690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4691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4694</v>
      </c>
      <c r="Y41" s="22" t="s">
        <v>4693</v>
      </c>
      <c r="Z41" s="22" t="s">
        <v>4692</v>
      </c>
      <c r="AA41" s="22" t="s">
        <v>4696</v>
      </c>
    </row>
    <row r="44" spans="1:30">
      <c r="I44" s="41"/>
    </row>
    <row r="54" spans="10:13">
      <c r="J54" s="41"/>
      <c r="K54" s="41"/>
      <c r="L54" s="41"/>
      <c r="M54" s="41"/>
    </row>
    <row r="57" spans="10:13">
      <c r="L57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4622</v>
      </c>
      <c r="AA2" s="99" t="s">
        <v>4620</v>
      </c>
      <c r="AB2" s="99" t="s">
        <v>4621</v>
      </c>
      <c r="AC2" s="99" t="s">
        <v>4624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4623</v>
      </c>
      <c r="Z4" s="99">
        <v>1</v>
      </c>
      <c r="AA4" s="99">
        <v>1</v>
      </c>
      <c r="AB4" s="99">
        <f t="shared" si="0"/>
        <v>1</v>
      </c>
      <c r="AC4" s="99" t="s">
        <v>4625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-77315</v>
      </c>
      <c r="C29" s="18">
        <v>0</v>
      </c>
      <c r="D29" s="113">
        <f t="shared" si="0"/>
        <v>-77315</v>
      </c>
      <c r="E29" s="19" t="s">
        <v>4652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-66850</v>
      </c>
      <c r="C30" s="18">
        <v>0</v>
      </c>
      <c r="D30" s="113">
        <f t="shared" si="0"/>
        <v>-66850</v>
      </c>
      <c r="E30" s="19" t="s">
        <v>4662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4661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2019-02-04T07:21:07Z</dcterms:modified>
</cp:coreProperties>
</file>