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G139" i="18" l="1"/>
  <c r="D68" i="52" l="1"/>
  <c r="N98" i="52" l="1"/>
  <c r="O98" i="52"/>
  <c r="P98" i="52"/>
  <c r="N99" i="52"/>
  <c r="P99" i="52" s="1"/>
  <c r="O99" i="52"/>
  <c r="N100" i="52"/>
  <c r="O100" i="52"/>
  <c r="N101" i="52"/>
  <c r="P102" i="52" s="1"/>
  <c r="O101" i="52"/>
  <c r="N102" i="52"/>
  <c r="O102" i="52"/>
  <c r="N103" i="52"/>
  <c r="O103" i="52"/>
  <c r="P103" i="52"/>
  <c r="N104" i="52"/>
  <c r="P104" i="52" s="1"/>
  <c r="O104" i="52"/>
  <c r="N105" i="52"/>
  <c r="P105" i="52" s="1"/>
  <c r="O105" i="52"/>
  <c r="N106" i="52"/>
  <c r="O106" i="52"/>
  <c r="P106" i="52"/>
  <c r="N107" i="52"/>
  <c r="O107" i="52"/>
  <c r="P107" i="52"/>
  <c r="N108" i="52"/>
  <c r="P108" i="52" s="1"/>
  <c r="O108" i="52"/>
  <c r="N109" i="52"/>
  <c r="P109" i="52" s="1"/>
  <c r="O109" i="52"/>
  <c r="N110" i="52"/>
  <c r="O110" i="52"/>
  <c r="P110" i="52"/>
  <c r="N111" i="52"/>
  <c r="O111" i="52"/>
  <c r="P111" i="52"/>
  <c r="J100" i="52"/>
  <c r="J101" i="52"/>
  <c r="J102" i="52"/>
  <c r="J103" i="52"/>
  <c r="J104" i="52"/>
  <c r="J105" i="52"/>
  <c r="J106" i="52"/>
  <c r="J107" i="52"/>
  <c r="J108" i="52"/>
  <c r="J109" i="52"/>
  <c r="J110" i="52"/>
  <c r="J111" i="52"/>
  <c r="J112" i="52"/>
  <c r="J97" i="52"/>
  <c r="J98" i="52"/>
  <c r="J99" i="52"/>
  <c r="P101" i="52" l="1"/>
  <c r="P100" i="52"/>
  <c r="S163" i="18"/>
  <c r="S154" i="18"/>
  <c r="S152" i="18"/>
  <c r="R285" i="18" l="1"/>
  <c r="J90" i="52"/>
  <c r="J95" i="52"/>
  <c r="P169" i="18"/>
  <c r="W250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F51" i="14" l="1"/>
  <c r="F52" i="14"/>
  <c r="F53" i="14"/>
  <c r="F54" i="14"/>
  <c r="F55" i="14"/>
  <c r="F56" i="14"/>
  <c r="F57" i="14"/>
  <c r="F58" i="14"/>
  <c r="F59" i="14"/>
  <c r="F60" i="14"/>
  <c r="F61" i="14"/>
  <c r="N92" i="52" l="1"/>
  <c r="O92" i="52"/>
  <c r="N93" i="52"/>
  <c r="O93" i="52"/>
  <c r="N94" i="52"/>
  <c r="O94" i="52"/>
  <c r="N95" i="52"/>
  <c r="P95" i="52" s="1"/>
  <c r="O95" i="52"/>
  <c r="N96" i="52"/>
  <c r="O96" i="52"/>
  <c r="N97" i="52"/>
  <c r="P97" i="52" s="1"/>
  <c r="O97" i="52"/>
  <c r="J92" i="52"/>
  <c r="J93" i="52"/>
  <c r="J94" i="52"/>
  <c r="J96" i="52"/>
  <c r="O145" i="18"/>
  <c r="O144" i="18"/>
  <c r="O143" i="18"/>
  <c r="P96" i="52" l="1"/>
  <c r="P94" i="52"/>
  <c r="P93" i="52"/>
  <c r="O147" i="18"/>
  <c r="N91" i="52"/>
  <c r="P92" i="52" s="1"/>
  <c r="R248" i="18" l="1"/>
  <c r="W249" i="18"/>
  <c r="W248" i="18"/>
  <c r="W247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46" i="18"/>
  <c r="G140" i="18" l="1"/>
  <c r="J140" i="18" s="1"/>
  <c r="J139" i="18"/>
  <c r="G138" i="18"/>
  <c r="J138" i="18" s="1"/>
  <c r="G137" i="18"/>
  <c r="J137" i="18" s="1"/>
  <c r="J141" i="18" l="1"/>
  <c r="R218" i="18"/>
  <c r="T270" i="18" s="1"/>
  <c r="W245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2" i="18"/>
  <c r="N32" i="18" s="1"/>
  <c r="W244" i="18"/>
  <c r="G32" i="57" l="1"/>
  <c r="H32" i="57"/>
  <c r="D32" i="57"/>
  <c r="I32" i="57" s="1"/>
  <c r="D345" i="20"/>
  <c r="U254" i="18"/>
  <c r="W243" i="18"/>
  <c r="W242" i="18"/>
  <c r="W178" i="18" l="1"/>
  <c r="W177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37" i="56" l="1"/>
  <c r="B37" i="56"/>
  <c r="O84" i="52" l="1"/>
  <c r="P22" i="18"/>
  <c r="W241" i="18"/>
  <c r="D343" i="20"/>
  <c r="W240" i="18" l="1"/>
  <c r="D342" i="20"/>
  <c r="J83" i="52"/>
  <c r="O83" i="52"/>
  <c r="W239" i="18"/>
  <c r="W238" i="18"/>
  <c r="F44" i="14"/>
  <c r="F45" i="14"/>
  <c r="F46" i="14"/>
  <c r="F47" i="14"/>
  <c r="F48" i="14"/>
  <c r="F49" i="14"/>
  <c r="F50" i="14"/>
  <c r="D341" i="20"/>
  <c r="AJ232" i="18" l="1"/>
  <c r="AL147" i="18" l="1"/>
  <c r="AM147" i="18" s="1"/>
  <c r="W237" i="18"/>
  <c r="AL145" i="18" l="1"/>
  <c r="AM145" i="18" s="1"/>
  <c r="D340" i="20" l="1"/>
  <c r="P23" i="18"/>
  <c r="N23" i="18" s="1"/>
  <c r="N48" i="18"/>
  <c r="W236" i="18"/>
  <c r="H337" i="20"/>
  <c r="H338" i="20"/>
  <c r="H339" i="20"/>
  <c r="H340" i="20"/>
  <c r="H341" i="20"/>
  <c r="H368" i="20"/>
  <c r="H369" i="20"/>
  <c r="D339" i="20"/>
  <c r="O77" i="18" l="1"/>
  <c r="O76" i="18"/>
  <c r="O75" i="18"/>
  <c r="B371" i="20"/>
  <c r="D332" i="20"/>
  <c r="D333" i="20"/>
  <c r="D334" i="20"/>
  <c r="D335" i="20"/>
  <c r="D336" i="20"/>
  <c r="D337" i="20"/>
  <c r="D338" i="20"/>
  <c r="D369" i="20"/>
  <c r="W235" i="18" l="1"/>
  <c r="D80" i="57"/>
  <c r="AD46" i="52" l="1"/>
  <c r="AE46" i="52"/>
  <c r="G46" i="10"/>
  <c r="D331" i="20" l="1"/>
  <c r="D330" i="20" l="1"/>
  <c r="W234" i="18" l="1"/>
  <c r="W233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P83" i="52" s="1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91" i="52" l="1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5" i="18"/>
  <c r="M116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32" i="18" l="1"/>
  <c r="W231" i="18"/>
  <c r="G130" i="18"/>
  <c r="J130" i="18" s="1"/>
  <c r="G129" i="18"/>
  <c r="J129" i="18" s="1"/>
  <c r="G128" i="18"/>
  <c r="J128" i="18" s="1"/>
  <c r="G127" i="18"/>
  <c r="J127" i="18" s="1"/>
  <c r="J131" i="18" l="1"/>
  <c r="Z40" i="52"/>
  <c r="Z39" i="52"/>
  <c r="Z38" i="52"/>
  <c r="AD38" i="52"/>
  <c r="AD39" i="52"/>
  <c r="AD40" i="52"/>
  <c r="AE40" i="52"/>
  <c r="AE39" i="52"/>
  <c r="AE38" i="52"/>
  <c r="R193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0" i="18"/>
  <c r="W229" i="18"/>
  <c r="L38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8" i="18" l="1"/>
  <c r="W227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6" i="18" l="1"/>
  <c r="W225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31" i="18"/>
  <c r="P25" i="18"/>
  <c r="N25" i="18" s="1"/>
  <c r="N22" i="18"/>
  <c r="P30" i="18"/>
  <c r="N30" i="18" s="1"/>
  <c r="AM231" i="18" l="1"/>
  <c r="AL230" i="18"/>
  <c r="W224" i="18"/>
  <c r="W223" i="18"/>
  <c r="N30" i="52"/>
  <c r="N29" i="52"/>
  <c r="AD27" i="52"/>
  <c r="Z27" i="52"/>
  <c r="AE27" i="52"/>
  <c r="AL229" i="18" l="1"/>
  <c r="AM230" i="18"/>
  <c r="W222" i="18"/>
  <c r="W221" i="18"/>
  <c r="N28" i="52"/>
  <c r="N27" i="52"/>
  <c r="AL228" i="18" l="1"/>
  <c r="AM229" i="18"/>
  <c r="AD26" i="52"/>
  <c r="AE26" i="52"/>
  <c r="N40" i="18"/>
  <c r="AM228" i="18" l="1"/>
  <c r="AL227" i="18"/>
  <c r="D313" i="20"/>
  <c r="AL226" i="18" l="1"/>
  <c r="AM227" i="18"/>
  <c r="L120" i="18"/>
  <c r="L117" i="18" s="1"/>
  <c r="AM226" i="18" l="1"/>
  <c r="AL225" i="18"/>
  <c r="L115" i="18"/>
  <c r="L116" i="18"/>
  <c r="N116" i="18" s="1"/>
  <c r="M120" i="18"/>
  <c r="L109" i="18"/>
  <c r="W220" i="18"/>
  <c r="W219" i="18"/>
  <c r="N24" i="52"/>
  <c r="N26" i="52"/>
  <c r="N25" i="52"/>
  <c r="AL224" i="18" l="1"/>
  <c r="AM225" i="18"/>
  <c r="N68" i="18"/>
  <c r="K119" i="18"/>
  <c r="L111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8" i="18"/>
  <c r="W217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6" i="18"/>
  <c r="W215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6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1" i="18"/>
  <c r="AM164" i="18"/>
  <c r="AD23" i="52"/>
  <c r="Z23" i="52"/>
  <c r="AE23" i="52"/>
  <c r="Z22" i="52"/>
  <c r="AD22" i="52"/>
  <c r="AE22" i="52"/>
  <c r="N56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14" i="18"/>
  <c r="W213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4" i="18"/>
  <c r="F114" i="18" s="1"/>
  <c r="G113" i="18"/>
  <c r="F113" i="18" s="1"/>
  <c r="G112" i="18"/>
  <c r="F112" i="18" s="1"/>
  <c r="G111" i="18"/>
  <c r="F111" i="18" s="1"/>
  <c r="G110" i="18"/>
  <c r="F110" i="18" s="1"/>
  <c r="G109" i="18"/>
  <c r="F109" i="18" s="1"/>
  <c r="P31" i="18"/>
  <c r="N31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12" i="18"/>
  <c r="W211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0" i="18"/>
  <c r="L112" i="18"/>
  <c r="L113" i="18"/>
  <c r="L114" i="18"/>
  <c r="J355" i="20" l="1"/>
  <c r="I355" i="20"/>
  <c r="G354" i="20"/>
  <c r="K355" i="20"/>
  <c r="W210" i="18"/>
  <c r="W209" i="18"/>
  <c r="D303" i="20"/>
  <c r="D302" i="20"/>
  <c r="W208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3" i="18"/>
  <c r="P29" i="18"/>
  <c r="P26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6" i="18"/>
  <c r="N54" i="18"/>
  <c r="M115" i="18" s="1"/>
  <c r="N115" i="18" s="1"/>
  <c r="N52" i="18"/>
  <c r="M114" i="18" s="1"/>
  <c r="I350" i="20" l="1"/>
  <c r="J350" i="20"/>
  <c r="K350" i="20"/>
  <c r="G349" i="20"/>
  <c r="N114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5" i="18"/>
  <c r="W204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03" i="18"/>
  <c r="W202" i="18"/>
  <c r="G346" i="20" l="1"/>
  <c r="J347" i="20"/>
  <c r="I347" i="20"/>
  <c r="K347" i="20"/>
  <c r="D293" i="20"/>
  <c r="K346" i="20" l="1"/>
  <c r="G345" i="20"/>
  <c r="J346" i="20"/>
  <c r="I346" i="20"/>
  <c r="W201" i="18"/>
  <c r="N53" i="18"/>
  <c r="M113" i="18" s="1"/>
  <c r="N57" i="18"/>
  <c r="K345" i="20" l="1"/>
  <c r="G344" i="20"/>
  <c r="J345" i="20"/>
  <c r="I345" i="20"/>
  <c r="N113" i="18"/>
  <c r="D292" i="20"/>
  <c r="C8" i="36"/>
  <c r="W200" i="18"/>
  <c r="N5" i="52"/>
  <c r="I344" i="20" l="1"/>
  <c r="K344" i="20"/>
  <c r="G343" i="20"/>
  <c r="J344" i="20"/>
  <c r="N49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9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9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4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K332" i="20" l="1"/>
  <c r="I332" i="20"/>
  <c r="G331" i="20"/>
  <c r="J332" i="20"/>
  <c r="F276" i="15"/>
  <c r="F268" i="15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70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5" i="18"/>
  <c r="W198" i="18"/>
  <c r="D278" i="20"/>
  <c r="J327" i="20" l="1"/>
  <c r="K327" i="20"/>
  <c r="G326" i="20"/>
  <c r="I327" i="20"/>
  <c r="W176" i="18"/>
  <c r="B280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0" i="18"/>
  <c r="I325" i="20" l="1"/>
  <c r="K325" i="20"/>
  <c r="J325" i="20"/>
  <c r="G324" i="20"/>
  <c r="S169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7" i="18"/>
  <c r="G320" i="20" l="1"/>
  <c r="K321" i="20"/>
  <c r="I321" i="20"/>
  <c r="J321" i="20"/>
  <c r="M117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D22" i="54"/>
  <c r="I22" i="54" s="1"/>
  <c r="D23" i="54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I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7" i="18"/>
  <c r="N128" i="18"/>
  <c r="N129" i="18"/>
  <c r="N130" i="18"/>
  <c r="N131" i="18"/>
  <c r="N132" i="18"/>
  <c r="N133" i="18"/>
  <c r="N134" i="18"/>
  <c r="N126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7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6" i="18"/>
  <c r="AM124" i="18" l="1"/>
  <c r="AL123" i="18"/>
  <c r="AM123" i="18" l="1"/>
  <c r="AL122" i="18"/>
  <c r="AL121" i="18" l="1"/>
  <c r="AM122" i="18"/>
  <c r="W190" i="18"/>
  <c r="W191" i="18"/>
  <c r="W192" i="18"/>
  <c r="W193" i="18"/>
  <c r="W194" i="18"/>
  <c r="W195" i="18"/>
  <c r="W207" i="18"/>
  <c r="W189" i="18"/>
  <c r="AM121" i="18" l="1"/>
  <c r="AL120" i="18"/>
  <c r="N59" i="18"/>
  <c r="AM120" i="18" l="1"/>
  <c r="AL119" i="18"/>
  <c r="AM119" i="18" l="1"/>
  <c r="AL118" i="18"/>
  <c r="T173" i="18"/>
  <c r="S60" i="18"/>
  <c r="S61" i="18" s="1"/>
  <c r="S62" i="18" s="1"/>
  <c r="R194" i="18"/>
  <c r="R192" i="18"/>
  <c r="D57" i="51"/>
  <c r="AL117" i="18" l="1"/>
  <c r="AM118" i="18"/>
  <c r="S63" i="18"/>
  <c r="S64" i="18" s="1"/>
  <c r="AM117" i="18" l="1"/>
  <c r="AL116" i="18"/>
  <c r="S65" i="18"/>
  <c r="S66" i="18" s="1"/>
  <c r="S67" i="18" s="1"/>
  <c r="S68" i="18" s="1"/>
  <c r="S69" i="18" s="1"/>
  <c r="N33" i="18"/>
  <c r="Q80" i="18" s="1"/>
  <c r="S70" i="18" l="1"/>
  <c r="S71" i="18" s="1"/>
  <c r="S72" i="18" s="1"/>
  <c r="S73" i="18" s="1"/>
  <c r="S74" i="18" s="1"/>
  <c r="S75" i="18" s="1"/>
  <c r="S76" i="18" s="1"/>
  <c r="S77" i="18" s="1"/>
  <c r="S78" i="18" s="1"/>
  <c r="R191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1" i="18"/>
  <c r="M112" i="18" s="1"/>
  <c r="N112" i="18" l="1"/>
  <c r="AM112" i="18"/>
  <c r="AL111" i="18"/>
  <c r="D108" i="50"/>
  <c r="AL110" i="18" l="1"/>
  <c r="AM111" i="18"/>
  <c r="N50" i="18"/>
  <c r="AL109" i="18" l="1"/>
  <c r="AM110" i="18"/>
  <c r="N111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7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4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6" i="18"/>
  <c r="M110" i="18" s="1"/>
  <c r="S46" i="18" l="1"/>
  <c r="S47" i="18" s="1"/>
  <c r="AL99" i="18"/>
  <c r="AM100" i="18"/>
  <c r="N110" i="18"/>
  <c r="AL200" i="18"/>
  <c r="AM201" i="18"/>
  <c r="S48" i="18" l="1"/>
  <c r="S49" i="18" s="1"/>
  <c r="AM99" i="18"/>
  <c r="AL98" i="18"/>
  <c r="AL199" i="18"/>
  <c r="AM200" i="18"/>
  <c r="P64" i="18"/>
  <c r="S50" i="18" l="1"/>
  <c r="S51" i="18" s="1"/>
  <c r="S52" i="18" s="1"/>
  <c r="S53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5" i="18" l="1"/>
  <c r="AJ236" i="18"/>
  <c r="AJ237" i="18" s="1"/>
  <c r="R190" i="18"/>
  <c r="AM94" i="18"/>
  <c r="AL93" i="18"/>
  <c r="AL194" i="18"/>
  <c r="AM195" i="18"/>
  <c r="AL92" i="18" l="1"/>
  <c r="AM93" i="18"/>
  <c r="AL193" i="18"/>
  <c r="AM194" i="18"/>
  <c r="S90" i="18"/>
  <c r="S91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2" i="18"/>
  <c r="AL85" i="18" l="1"/>
  <c r="AM86" i="18"/>
  <c r="S93" i="18"/>
  <c r="S94" i="18" s="1"/>
  <c r="S95" i="18" s="1"/>
  <c r="S96" i="18" s="1"/>
  <c r="S97" i="18" s="1"/>
  <c r="S98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99" i="18"/>
  <c r="S100" i="18" s="1"/>
  <c r="S101" i="18" s="1"/>
  <c r="S10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32" i="18"/>
  <c r="AN232" i="18" s="1"/>
  <c r="AJ235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38" i="18" l="1"/>
  <c r="AJ239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AL77" i="18"/>
  <c r="AM78" i="18"/>
  <c r="N64" i="18"/>
  <c r="G307" i="20" l="1"/>
  <c r="K308" i="20"/>
  <c r="J308" i="20"/>
  <c r="I308" i="20"/>
  <c r="S104" i="18"/>
  <c r="S105" i="18" s="1"/>
  <c r="S106" i="18" s="1"/>
  <c r="S107" i="18" s="1"/>
  <c r="S108" i="18" s="1"/>
  <c r="AL76" i="18"/>
  <c r="AM77" i="18"/>
  <c r="G306" i="20" l="1"/>
  <c r="J307" i="20"/>
  <c r="I307" i="20"/>
  <c r="K307" i="20"/>
  <c r="S109" i="18"/>
  <c r="S110" i="18" s="1"/>
  <c r="AL75" i="18"/>
  <c r="AM76" i="18"/>
  <c r="N58" i="18"/>
  <c r="Q165" i="18" s="1"/>
  <c r="M109" i="18" l="1"/>
  <c r="N109" i="18" s="1"/>
  <c r="N120" i="18" s="1"/>
  <c r="AJ171" i="18"/>
  <c r="AJ172" i="18" s="1"/>
  <c r="R189" i="18"/>
  <c r="R199" i="18" s="1"/>
  <c r="T257" i="18" s="1"/>
  <c r="S111" i="18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G305" i="20"/>
  <c r="I306" i="20"/>
  <c r="K306" i="20"/>
  <c r="J306" i="20"/>
  <c r="AL74" i="18"/>
  <c r="AM75" i="18"/>
  <c r="V260" i="18" l="1"/>
  <c r="S178" i="18"/>
  <c r="U270" i="18"/>
  <c r="G304" i="20"/>
  <c r="I305" i="20"/>
  <c r="K305" i="20"/>
  <c r="J305" i="20"/>
  <c r="S129" i="18"/>
  <c r="AL73" i="18"/>
  <c r="AM74" i="18"/>
  <c r="N90" i="18"/>
  <c r="V163" i="18" s="1"/>
  <c r="W163" i="18" l="1"/>
  <c r="X163" i="18"/>
  <c r="V53" i="18"/>
  <c r="W53" i="18" s="1"/>
  <c r="V78" i="18"/>
  <c r="V52" i="18"/>
  <c r="X52" i="18" s="1"/>
  <c r="V77" i="18"/>
  <c r="V73" i="18"/>
  <c r="V76" i="18"/>
  <c r="V74" i="18"/>
  <c r="V75" i="18"/>
  <c r="U178" i="18"/>
  <c r="V178" i="18" s="1"/>
  <c r="V72" i="18"/>
  <c r="X72" i="18" s="1"/>
  <c r="V51" i="18"/>
  <c r="V50" i="18"/>
  <c r="X50" i="18" s="1"/>
  <c r="V71" i="18"/>
  <c r="V70" i="18"/>
  <c r="V49" i="18"/>
  <c r="V48" i="18"/>
  <c r="V69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0" i="18"/>
  <c r="S131" i="18" s="1"/>
  <c r="V33" i="18"/>
  <c r="W33" i="18" s="1"/>
  <c r="V34" i="18"/>
  <c r="V35" i="18"/>
  <c r="V54" i="18"/>
  <c r="V36" i="18"/>
  <c r="V32" i="18"/>
  <c r="X32" i="18" s="1"/>
  <c r="V68" i="18"/>
  <c r="G303" i="20"/>
  <c r="K304" i="20"/>
  <c r="I304" i="20"/>
  <c r="J304" i="20"/>
  <c r="V270" i="18"/>
  <c r="V31" i="18"/>
  <c r="W31" i="18" s="1"/>
  <c r="V67" i="18"/>
  <c r="V129" i="18"/>
  <c r="V127" i="18"/>
  <c r="V126" i="18"/>
  <c r="V125" i="18"/>
  <c r="V128" i="18"/>
  <c r="V122" i="18"/>
  <c r="W122" i="18" s="1"/>
  <c r="V124" i="18"/>
  <c r="V123" i="18"/>
  <c r="V121" i="18"/>
  <c r="V120" i="18"/>
  <c r="V30" i="18"/>
  <c r="W30" i="18" s="1"/>
  <c r="V66" i="18"/>
  <c r="V118" i="18"/>
  <c r="V119" i="18"/>
  <c r="V116" i="18"/>
  <c r="V115" i="18"/>
  <c r="V114" i="18"/>
  <c r="V113" i="18"/>
  <c r="V110" i="18"/>
  <c r="V112" i="18"/>
  <c r="V111" i="18"/>
  <c r="V117" i="18"/>
  <c r="V164" i="18"/>
  <c r="V108" i="18"/>
  <c r="W108" i="18" s="1"/>
  <c r="V109" i="18"/>
  <c r="V29" i="18"/>
  <c r="W29" i="18" s="1"/>
  <c r="V65" i="18"/>
  <c r="V106" i="18"/>
  <c r="W106" i="18" s="1"/>
  <c r="V107" i="18"/>
  <c r="V103" i="18"/>
  <c r="W103" i="18" s="1"/>
  <c r="V105" i="18"/>
  <c r="V104" i="18"/>
  <c r="V102" i="18"/>
  <c r="W102" i="18" s="1"/>
  <c r="V101" i="18"/>
  <c r="V28" i="18"/>
  <c r="V27" i="18"/>
  <c r="W27" i="18" s="1"/>
  <c r="V64" i="18"/>
  <c r="V26" i="18"/>
  <c r="X26" i="18" s="1"/>
  <c r="V63" i="18"/>
  <c r="V79" i="18"/>
  <c r="V62" i="18"/>
  <c r="V100" i="18"/>
  <c r="V61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X53" i="18" l="1"/>
  <c r="W78" i="18"/>
  <c r="X78" i="18"/>
  <c r="W52" i="18"/>
  <c r="W77" i="18"/>
  <c r="X77" i="18"/>
  <c r="W74" i="18"/>
  <c r="X74" i="18"/>
  <c r="W76" i="18"/>
  <c r="X76" i="18"/>
  <c r="W75" i="18"/>
  <c r="X75" i="18"/>
  <c r="W73" i="18"/>
  <c r="X73" i="18"/>
  <c r="W72" i="18"/>
  <c r="W51" i="18"/>
  <c r="X51" i="18"/>
  <c r="W50" i="18"/>
  <c r="X71" i="18"/>
  <c r="W71" i="18"/>
  <c r="W70" i="18"/>
  <c r="X70" i="18"/>
  <c r="X48" i="18"/>
  <c r="W48" i="18"/>
  <c r="W49" i="18"/>
  <c r="X49" i="18"/>
  <c r="W69" i="18"/>
  <c r="X69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0" i="18"/>
  <c r="X130" i="18" s="1"/>
  <c r="S132" i="18"/>
  <c r="V131" i="18"/>
  <c r="W131" i="18" s="1"/>
  <c r="X33" i="18"/>
  <c r="W54" i="18"/>
  <c r="X54" i="18"/>
  <c r="W34" i="18"/>
  <c r="X34" i="18"/>
  <c r="W35" i="18"/>
  <c r="X35" i="18"/>
  <c r="X36" i="18"/>
  <c r="W36" i="18"/>
  <c r="W32" i="18"/>
  <c r="X68" i="18"/>
  <c r="W68" i="18"/>
  <c r="S177" i="18"/>
  <c r="G302" i="20"/>
  <c r="K303" i="20"/>
  <c r="I303" i="20"/>
  <c r="J303" i="20"/>
  <c r="X31" i="18"/>
  <c r="W67" i="18"/>
  <c r="X67" i="18"/>
  <c r="X122" i="18"/>
  <c r="W125" i="18"/>
  <c r="X125" i="18"/>
  <c r="W127" i="18"/>
  <c r="X127" i="18"/>
  <c r="X128" i="18"/>
  <c r="W128" i="18"/>
  <c r="W126" i="18"/>
  <c r="X126" i="18"/>
  <c r="W129" i="18"/>
  <c r="X129" i="18"/>
  <c r="W123" i="18"/>
  <c r="X123" i="18"/>
  <c r="W124" i="18"/>
  <c r="X124" i="18"/>
  <c r="X30" i="18"/>
  <c r="W120" i="18"/>
  <c r="X120" i="18"/>
  <c r="W121" i="18"/>
  <c r="X121" i="18"/>
  <c r="W66" i="18"/>
  <c r="X66" i="18"/>
  <c r="W119" i="18"/>
  <c r="X119" i="18"/>
  <c r="W118" i="18"/>
  <c r="X118" i="18"/>
  <c r="X115" i="18"/>
  <c r="W115" i="18"/>
  <c r="W116" i="18"/>
  <c r="X116" i="18"/>
  <c r="W113" i="18"/>
  <c r="X113" i="18"/>
  <c r="W114" i="18"/>
  <c r="X114" i="18"/>
  <c r="W164" i="18"/>
  <c r="X164" i="18"/>
  <c r="W112" i="18"/>
  <c r="X112" i="18"/>
  <c r="X117" i="18"/>
  <c r="W117" i="18"/>
  <c r="W111" i="18"/>
  <c r="X111" i="18"/>
  <c r="W110" i="18"/>
  <c r="X110" i="18"/>
  <c r="X108" i="18"/>
  <c r="W109" i="18"/>
  <c r="X109" i="18"/>
  <c r="X29" i="18"/>
  <c r="W65" i="18"/>
  <c r="X65" i="18"/>
  <c r="X106" i="18"/>
  <c r="W107" i="18"/>
  <c r="X107" i="18"/>
  <c r="X103" i="18"/>
  <c r="W104" i="18"/>
  <c r="X104" i="18"/>
  <c r="W105" i="18"/>
  <c r="X105" i="18"/>
  <c r="X102" i="18"/>
  <c r="W101" i="18"/>
  <c r="X101" i="18"/>
  <c r="W28" i="18"/>
  <c r="X28" i="18"/>
  <c r="X27" i="18"/>
  <c r="W64" i="18"/>
  <c r="X64" i="18"/>
  <c r="W26" i="18"/>
  <c r="W63" i="18"/>
  <c r="X63" i="18"/>
  <c r="W62" i="18"/>
  <c r="X62" i="18"/>
  <c r="W79" i="18"/>
  <c r="X79" i="18"/>
  <c r="S176" i="18"/>
  <c r="S175" i="18"/>
  <c r="U175" i="18" s="1"/>
  <c r="W100" i="18"/>
  <c r="X100" i="18"/>
  <c r="X61" i="18"/>
  <c r="W61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7" i="18" l="1"/>
  <c r="V177" i="18" s="1"/>
  <c r="N36" i="18"/>
  <c r="L21" i="18" s="1"/>
  <c r="U176" i="18"/>
  <c r="V176" i="18" s="1"/>
  <c r="W130" i="18"/>
  <c r="X131" i="18"/>
  <c r="S133" i="18"/>
  <c r="V132" i="18"/>
  <c r="N67" i="18"/>
  <c r="G301" i="20"/>
  <c r="I302" i="20"/>
  <c r="K302" i="20"/>
  <c r="J302" i="20"/>
  <c r="AL70" i="18"/>
  <c r="AM71" i="18"/>
  <c r="X132" i="18" l="1"/>
  <c r="W132" i="18"/>
  <c r="S134" i="18"/>
  <c r="V133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3" i="18" l="1"/>
  <c r="X133" i="18"/>
  <c r="S135" i="18"/>
  <c r="S136" i="18" s="1"/>
  <c r="V134" i="18"/>
  <c r="G299" i="20"/>
  <c r="I300" i="20"/>
  <c r="K300" i="20"/>
  <c r="J300" i="20"/>
  <c r="AL68" i="18"/>
  <c r="AM69" i="18"/>
  <c r="N2" i="33"/>
  <c r="W134" i="18" l="1"/>
  <c r="X134" i="18"/>
  <c r="V135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5" i="18" l="1"/>
  <c r="W135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37" i="18"/>
  <c r="V136" i="18"/>
  <c r="I297" i="20"/>
  <c r="K297" i="20"/>
  <c r="J297" i="20"/>
  <c r="G296" i="20"/>
  <c r="AL65" i="18"/>
  <c r="AM66" i="18"/>
  <c r="E59" i="14" l="1"/>
  <c r="G60" i="14"/>
  <c r="X136" i="18"/>
  <c r="W136" i="18"/>
  <c r="S138" i="18"/>
  <c r="V137" i="18"/>
  <c r="G295" i="20"/>
  <c r="K296" i="20"/>
  <c r="I296" i="20"/>
  <c r="J296" i="20"/>
  <c r="AL64" i="18"/>
  <c r="AM65" i="18"/>
  <c r="E58" i="14" l="1"/>
  <c r="G59" i="14"/>
  <c r="W137" i="18"/>
  <c r="X137" i="18"/>
  <c r="S139" i="18"/>
  <c r="V138" i="18"/>
  <c r="G294" i="20"/>
  <c r="K295" i="20"/>
  <c r="J295" i="20"/>
  <c r="I295" i="20"/>
  <c r="AM64" i="18"/>
  <c r="AL63" i="18"/>
  <c r="G58" i="14" l="1"/>
  <c r="E57" i="14"/>
  <c r="W138" i="18"/>
  <c r="X138" i="18"/>
  <c r="V139" i="18"/>
  <c r="S140" i="18"/>
  <c r="G293" i="20"/>
  <c r="I294" i="20"/>
  <c r="J294" i="20"/>
  <c r="K294" i="20"/>
  <c r="AL62" i="18"/>
  <c r="AM63" i="18"/>
  <c r="G57" i="14" l="1"/>
  <c r="E56" i="14"/>
  <c r="S141" i="18"/>
  <c r="S142" i="18" s="1"/>
  <c r="V140" i="18"/>
  <c r="W139" i="18"/>
  <c r="X139" i="18"/>
  <c r="G292" i="20"/>
  <c r="K293" i="20"/>
  <c r="J293" i="20"/>
  <c r="I293" i="20"/>
  <c r="AL61" i="18"/>
  <c r="AM62" i="18"/>
  <c r="E55" i="14" l="1"/>
  <c r="G56" i="14"/>
  <c r="V141" i="18"/>
  <c r="X141" i="18" s="1"/>
  <c r="X140" i="18"/>
  <c r="W140" i="18"/>
  <c r="J292" i="20"/>
  <c r="I292" i="20"/>
  <c r="G291" i="20"/>
  <c r="K292" i="20"/>
  <c r="AM61" i="18"/>
  <c r="AL60" i="18"/>
  <c r="E54" i="14" l="1"/>
  <c r="G55" i="14"/>
  <c r="W141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2" i="18"/>
  <c r="W142" i="18" s="1"/>
  <c r="S143" i="18"/>
  <c r="J290" i="20"/>
  <c r="G289" i="20"/>
  <c r="I290" i="20"/>
  <c r="K290" i="20"/>
  <c r="AM59" i="18"/>
  <c r="AL58" i="18"/>
  <c r="G53" i="14" l="1"/>
  <c r="E52" i="14"/>
  <c r="X142" i="18"/>
  <c r="S144" i="18"/>
  <c r="S145" i="18" s="1"/>
  <c r="S146" i="18" s="1"/>
  <c r="S147" i="18" s="1"/>
  <c r="S148" i="18" s="1"/>
  <c r="V143" i="18"/>
  <c r="G288" i="20"/>
  <c r="K289" i="20"/>
  <c r="J289" i="20"/>
  <c r="I289" i="20"/>
  <c r="AL57" i="18"/>
  <c r="AM58" i="18"/>
  <c r="E51" i="14" l="1"/>
  <c r="G52" i="14"/>
  <c r="V146" i="18"/>
  <c r="W143" i="18"/>
  <c r="X143" i="18"/>
  <c r="V144" i="18"/>
  <c r="J288" i="20"/>
  <c r="K288" i="20"/>
  <c r="G287" i="20"/>
  <c r="I288" i="20"/>
  <c r="AL56" i="18"/>
  <c r="AM57" i="18"/>
  <c r="B105" i="13"/>
  <c r="B196" i="13" s="1"/>
  <c r="G51" i="14" l="1"/>
  <c r="E50" i="14"/>
  <c r="W146" i="18"/>
  <c r="X146" i="18"/>
  <c r="W144" i="18"/>
  <c r="X144" i="18"/>
  <c r="V145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5" i="18"/>
  <c r="X145" i="18"/>
  <c r="G285" i="20"/>
  <c r="J286" i="20"/>
  <c r="I286" i="20"/>
  <c r="K286" i="20"/>
  <c r="AM55" i="18"/>
  <c r="AL54" i="18"/>
  <c r="G49" i="14" l="1"/>
  <c r="E48" i="14"/>
  <c r="V147" i="18"/>
  <c r="G284" i="20"/>
  <c r="K285" i="20"/>
  <c r="J285" i="20"/>
  <c r="I285" i="20"/>
  <c r="AL53" i="18"/>
  <c r="AM54" i="18"/>
  <c r="G48" i="14" l="1"/>
  <c r="E47" i="14"/>
  <c r="W147" i="18"/>
  <c r="X14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48" i="18"/>
  <c r="W148" i="18" s="1"/>
  <c r="S149" i="18"/>
  <c r="S150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1" i="18"/>
  <c r="V150" i="18"/>
  <c r="X148" i="18"/>
  <c r="V149" i="18"/>
  <c r="K280" i="20"/>
  <c r="G279" i="20"/>
  <c r="J280" i="20"/>
  <c r="I280" i="20"/>
  <c r="AL48" i="18"/>
  <c r="AM49" i="18"/>
  <c r="E248" i="15"/>
  <c r="G43" i="14" l="1"/>
  <c r="E42" i="14"/>
  <c r="V151" i="18"/>
  <c r="X151" i="18" s="1"/>
  <c r="W150" i="18"/>
  <c r="X150" i="18"/>
  <c r="W149" i="18"/>
  <c r="X149" i="18"/>
  <c r="J279" i="20"/>
  <c r="I279" i="20"/>
  <c r="G278" i="20"/>
  <c r="K279" i="20"/>
  <c r="AL47" i="18"/>
  <c r="AM48" i="18"/>
  <c r="E247" i="15"/>
  <c r="E246" i="15"/>
  <c r="G42" i="14" l="1"/>
  <c r="E41" i="14"/>
  <c r="W151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3" i="18"/>
  <c r="V152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3" i="18"/>
  <c r="X153" i="18" s="1"/>
  <c r="W152" i="18"/>
  <c r="X152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3" i="18"/>
  <c r="G272" i="20"/>
  <c r="J273" i="20"/>
  <c r="K273" i="20"/>
  <c r="I273" i="20"/>
  <c r="AL41" i="18"/>
  <c r="AM42" i="18"/>
  <c r="G36" i="14" l="1"/>
  <c r="E35" i="14"/>
  <c r="V154" i="18"/>
  <c r="W154" i="18" s="1"/>
  <c r="S155" i="18"/>
  <c r="J272" i="20"/>
  <c r="K272" i="20"/>
  <c r="I272" i="20"/>
  <c r="G271" i="20"/>
  <c r="AM41" i="18"/>
  <c r="AL40" i="18"/>
  <c r="G35" i="14" l="1"/>
  <c r="E34" i="14"/>
  <c r="V155" i="18"/>
  <c r="W155" i="18" s="1"/>
  <c r="S156" i="18"/>
  <c r="X154" i="18"/>
  <c r="G270" i="20"/>
  <c r="I271" i="20"/>
  <c r="J271" i="20"/>
  <c r="K271" i="20"/>
  <c r="AL39" i="18"/>
  <c r="AM40" i="18"/>
  <c r="E243" i="15"/>
  <c r="G34" i="14" l="1"/>
  <c r="E33" i="14"/>
  <c r="V156" i="18"/>
  <c r="W156" i="18" s="1"/>
  <c r="S157" i="18"/>
  <c r="X155" i="18"/>
  <c r="G269" i="20"/>
  <c r="J270" i="20"/>
  <c r="K270" i="20"/>
  <c r="I270" i="20"/>
  <c r="AM39" i="18"/>
  <c r="AL38" i="18"/>
  <c r="E242" i="15"/>
  <c r="E32" i="14" l="1"/>
  <c r="G33" i="14"/>
  <c r="X156" i="18"/>
  <c r="S158" i="18"/>
  <c r="V157" i="18"/>
  <c r="I269" i="20"/>
  <c r="K269" i="20"/>
  <c r="J269" i="20"/>
  <c r="G268" i="20"/>
  <c r="AL37" i="18"/>
  <c r="AM38" i="18"/>
  <c r="J57" i="33"/>
  <c r="J55" i="33"/>
  <c r="J54" i="33"/>
  <c r="G32" i="14" l="1"/>
  <c r="E31" i="14"/>
  <c r="W157" i="18"/>
  <c r="X157" i="18"/>
  <c r="S159" i="18"/>
  <c r="V158" i="18"/>
  <c r="J268" i="20"/>
  <c r="I268" i="20"/>
  <c r="G267" i="20"/>
  <c r="K268" i="20"/>
  <c r="AL36" i="18"/>
  <c r="AM37" i="18"/>
  <c r="L57" i="33"/>
  <c r="E241" i="15"/>
  <c r="G31" i="14" l="1"/>
  <c r="E30" i="14"/>
  <c r="S160" i="18"/>
  <c r="V159" i="18"/>
  <c r="W158" i="18"/>
  <c r="X158" i="18"/>
  <c r="I267" i="20"/>
  <c r="K267" i="20"/>
  <c r="G266" i="20"/>
  <c r="J267" i="20"/>
  <c r="AM36" i="18"/>
  <c r="AL35" i="18"/>
  <c r="D168" i="20"/>
  <c r="E29" i="14" l="1"/>
  <c r="G30" i="14"/>
  <c r="V160" i="18"/>
  <c r="W160" i="18" s="1"/>
  <c r="S161" i="18"/>
  <c r="W159" i="18"/>
  <c r="X159" i="18"/>
  <c r="J266" i="20"/>
  <c r="G265" i="20"/>
  <c r="K266" i="20"/>
  <c r="I266" i="20"/>
  <c r="AL34" i="18"/>
  <c r="AM35" i="18"/>
  <c r="E240" i="15"/>
  <c r="E239" i="15"/>
  <c r="V161" i="18" l="1"/>
  <c r="W161" i="18" s="1"/>
  <c r="S162" i="18"/>
  <c r="V162" i="18" s="1"/>
  <c r="X160" i="18"/>
  <c r="G29" i="14"/>
  <c r="E28" i="14"/>
  <c r="K265" i="20"/>
  <c r="G264" i="20"/>
  <c r="J265" i="20"/>
  <c r="I265" i="20"/>
  <c r="D259" i="15"/>
  <c r="AL33" i="18"/>
  <c r="AM34" i="18"/>
  <c r="X161" i="18" l="1"/>
  <c r="X162" i="18"/>
  <c r="W162" i="18"/>
  <c r="E27" i="14"/>
  <c r="G28" i="14"/>
  <c r="G263" i="20"/>
  <c r="K264" i="20"/>
  <c r="J264" i="20"/>
  <c r="I264" i="20"/>
  <c r="D258" i="15"/>
  <c r="F259" i="15"/>
  <c r="AL32" i="18"/>
  <c r="AM33" i="18"/>
  <c r="E26" i="14" l="1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E25" i="14" l="1"/>
  <c r="G26" i="14"/>
  <c r="G261" i="20"/>
  <c r="I262" i="20"/>
  <c r="J262" i="20"/>
  <c r="K262" i="20"/>
  <c r="D256" i="15"/>
  <c r="F257" i="15"/>
  <c r="AL30" i="18"/>
  <c r="AM31" i="18"/>
  <c r="L60" i="32"/>
  <c r="L48" i="32"/>
  <c r="E24" i="14" l="1"/>
  <c r="G25" i="14"/>
  <c r="J261" i="20"/>
  <c r="I261" i="20"/>
  <c r="K261" i="20"/>
  <c r="G260" i="20"/>
  <c r="D255" i="15"/>
  <c r="F256" i="15"/>
  <c r="AL29" i="18"/>
  <c r="AM30" i="18"/>
  <c r="G24" i="14" l="1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E21" i="14" l="1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1641" i="41"/>
  <c r="X1641" i="41" s="1"/>
  <c r="V1737" i="41"/>
  <c r="X1737" i="41" s="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V1597" i="41" s="1"/>
  <c r="X1597" i="41" s="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V1649" i="41" s="1"/>
  <c r="X1649" i="41" s="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V1705" i="41" s="1"/>
  <c r="X1705" i="41" s="1"/>
  <c r="U1706" i="41"/>
  <c r="U1707" i="41"/>
  <c r="U1708" i="41"/>
  <c r="U1709" i="41"/>
  <c r="U1710" i="41"/>
  <c r="U1711" i="41"/>
  <c r="U1712" i="41"/>
  <c r="U1713" i="41"/>
  <c r="V1713" i="41" s="1"/>
  <c r="X1713" i="41" s="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P124" i="41"/>
  <c r="P252" i="41"/>
  <c r="P284" i="41"/>
  <c r="P1121" i="41"/>
  <c r="P1185" i="41"/>
  <c r="P1265" i="41"/>
  <c r="P1286" i="41"/>
  <c r="P1313" i="41"/>
  <c r="P1318" i="41"/>
  <c r="P1414" i="41"/>
  <c r="P1521" i="41"/>
  <c r="P1585" i="41"/>
  <c r="P1697" i="41"/>
  <c r="P1729" i="41"/>
  <c r="P1777" i="41"/>
  <c r="P1990" i="41"/>
  <c r="P2017" i="41"/>
  <c r="P2113" i="41"/>
  <c r="P2209" i="41"/>
  <c r="P2214" i="41"/>
  <c r="P2330" i="41"/>
  <c r="P2384" i="4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Q1178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Q1186" i="41" s="1"/>
  <c r="O1182" i="41"/>
  <c r="P1182" i="41" s="1"/>
  <c r="O1183" i="41"/>
  <c r="P1183" i="41" s="1"/>
  <c r="O1184" i="41"/>
  <c r="P1184" i="41" s="1"/>
  <c r="O1185" i="4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Q1202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Q1226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Q1234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Q1242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Q1258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O1266" i="41"/>
  <c r="P1266" i="41" s="1"/>
  <c r="O1267" i="41"/>
  <c r="P1267" i="41" s="1"/>
  <c r="O1268" i="41"/>
  <c r="P1268" i="41" s="1"/>
  <c r="O1269" i="41"/>
  <c r="P1269" i="41" s="1"/>
  <c r="Q1274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Q1298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Q1306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Q1314" i="41" s="1"/>
  <c r="O1310" i="41"/>
  <c r="P1310" i="41" s="1"/>
  <c r="O1311" i="41"/>
  <c r="P1311" i="41" s="1"/>
  <c r="O1312" i="41"/>
  <c r="P1312" i="41" s="1"/>
  <c r="O1313" i="41"/>
  <c r="O1314" i="41"/>
  <c r="P1314" i="41" s="1"/>
  <c r="O1315" i="41"/>
  <c r="P1315" i="41" s="1"/>
  <c r="O1316" i="41"/>
  <c r="P1316" i="41" s="1"/>
  <c r="O1317" i="41"/>
  <c r="P1317" i="41" s="1"/>
  <c r="Q1322" i="41" s="1"/>
  <c r="O1318" i="4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Q1338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Q1354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Q1362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Q1378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Q1402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Q1410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Q1466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Q1490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Q1498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Q1506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Q1514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Q1522" i="41" s="1"/>
  <c r="O1518" i="41"/>
  <c r="P1518" i="41" s="1"/>
  <c r="O1519" i="41"/>
  <c r="P1519" i="41" s="1"/>
  <c r="O1520" i="41"/>
  <c r="P1520" i="41" s="1"/>
  <c r="O1521" i="41"/>
  <c r="O1522" i="41"/>
  <c r="P1522" i="41" s="1"/>
  <c r="O1523" i="41"/>
  <c r="P1523" i="41" s="1"/>
  <c r="O1524" i="41"/>
  <c r="P1524" i="41" s="1"/>
  <c r="O1525" i="41"/>
  <c r="P1525" i="41" s="1"/>
  <c r="Q1530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Q1546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Q1554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Q1562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O1586" i="41"/>
  <c r="P1586" i="41" s="1"/>
  <c r="O1587" i="41"/>
  <c r="P1587" i="41" s="1"/>
  <c r="O1588" i="41"/>
  <c r="P1588" i="41" s="1"/>
  <c r="O1589" i="41"/>
  <c r="P1589" i="41" s="1"/>
  <c r="Q1594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Q1602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Q1610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Q1618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Q1634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Q1674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Q1682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Q1698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Q1706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Q1730" i="41" s="1"/>
  <c r="O1726" i="41"/>
  <c r="P1726" i="41" s="1"/>
  <c r="O1727" i="41"/>
  <c r="P1727" i="41" s="1"/>
  <c r="O1728" i="41"/>
  <c r="P1728" i="41" s="1"/>
  <c r="O1729" i="41"/>
  <c r="O1730" i="41"/>
  <c r="P1730" i="41" s="1"/>
  <c r="O1731" i="41"/>
  <c r="P1731" i="41" s="1"/>
  <c r="O1732" i="41"/>
  <c r="P1732" i="41" s="1"/>
  <c r="O1733" i="41"/>
  <c r="P1733" i="41" s="1"/>
  <c r="Q1738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Q1746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Q1770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Q1778" i="41" s="1"/>
  <c r="O1774" i="41"/>
  <c r="P1774" i="41" s="1"/>
  <c r="O1775" i="41"/>
  <c r="P1775" i="41" s="1"/>
  <c r="O1776" i="41"/>
  <c r="P1776" i="41" s="1"/>
  <c r="O1777" i="4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Q1794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Q1802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Q1810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Q1866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Q1874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Q1890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Q1906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Q1914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Q1938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Q1946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Q1978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Q1986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Q2002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Q2018" i="41" s="1"/>
  <c r="O2014" i="41"/>
  <c r="P2014" i="41" s="1"/>
  <c r="O2015" i="41"/>
  <c r="P2015" i="41" s="1"/>
  <c r="O2016" i="41"/>
  <c r="P2016" i="41" s="1"/>
  <c r="O2017" i="4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Q2034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Q2066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Q2098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Q2114" i="41" s="1"/>
  <c r="O2110" i="41"/>
  <c r="P2110" i="41" s="1"/>
  <c r="O2111" i="41"/>
  <c r="P2111" i="41" s="1"/>
  <c r="O2112" i="41"/>
  <c r="P2112" i="41" s="1"/>
  <c r="O2113" i="4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Q2130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Q2146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Q2194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O2210" i="41"/>
  <c r="P2210" i="41" s="1"/>
  <c r="O2211" i="41"/>
  <c r="P2211" i="41" s="1"/>
  <c r="O2212" i="41"/>
  <c r="P2212" i="41" s="1"/>
  <c r="O2213" i="41"/>
  <c r="P2213" i="41" s="1"/>
  <c r="O2214" i="4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Q2242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Q2266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Q2354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Q2362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M35" i="41"/>
  <c r="N35" i="41" s="1"/>
  <c r="M36" i="41"/>
  <c r="N36" i="41" s="1"/>
  <c r="M38" i="41"/>
  <c r="N38" i="41" s="1"/>
  <c r="M39" i="4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M104" i="4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M115" i="41"/>
  <c r="N115" i="41" s="1"/>
  <c r="M116" i="41"/>
  <c r="N116" i="41" s="1"/>
  <c r="M118" i="41"/>
  <c r="N118" i="41" s="1"/>
  <c r="M119" i="4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M155" i="41"/>
  <c r="N155" i="41" s="1"/>
  <c r="M156" i="41"/>
  <c r="N156" i="41" s="1"/>
  <c r="M158" i="41"/>
  <c r="N158" i="41" s="1"/>
  <c r="M159" i="4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M195" i="41"/>
  <c r="N195" i="41" s="1"/>
  <c r="M196" i="41"/>
  <c r="N196" i="41" s="1"/>
  <c r="M198" i="41"/>
  <c r="N198" i="41" s="1"/>
  <c r="M199" i="4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7" i="41"/>
  <c r="M218" i="4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M355" i="41"/>
  <c r="N355" i="41" s="1"/>
  <c r="M356" i="41"/>
  <c r="N356" i="41" s="1"/>
  <c r="M358" i="41"/>
  <c r="N358" i="41" s="1"/>
  <c r="M359" i="41"/>
  <c r="M360" i="41"/>
  <c r="M361" i="41"/>
  <c r="N361" i="41" s="1"/>
  <c r="M363" i="4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M420" i="41"/>
  <c r="N420" i="41" s="1"/>
  <c r="M421" i="41"/>
  <c r="N421" i="41" s="1"/>
  <c r="M423" i="41"/>
  <c r="M424" i="4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M440" i="41"/>
  <c r="M441" i="41"/>
  <c r="N441" i="41" s="1"/>
  <c r="M443" i="4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M489" i="4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M699" i="41"/>
  <c r="N699" i="41" s="1"/>
  <c r="M700" i="41"/>
  <c r="N700" i="41" s="1"/>
  <c r="M701" i="41"/>
  <c r="N701" i="41" s="1"/>
  <c r="M703" i="4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7" i="4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M898" i="41"/>
  <c r="M899" i="41"/>
  <c r="N899" i="41" s="1"/>
  <c r="M900" i="41"/>
  <c r="N900" i="41" s="1"/>
  <c r="M901" i="41"/>
  <c r="N901" i="41" s="1"/>
  <c r="M903" i="4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M1074" i="4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M1178" i="41"/>
  <c r="N1178" i="41" s="1"/>
  <c r="M1179" i="41"/>
  <c r="N1179" i="41" s="1"/>
  <c r="M1180" i="41"/>
  <c r="N1180" i="41" s="1"/>
  <c r="M1181" i="41"/>
  <c r="N1181" i="41" s="1"/>
  <c r="M1183" i="41"/>
  <c r="M1184" i="4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M1217" i="41"/>
  <c r="M1218" i="41"/>
  <c r="N1218" i="41" s="1"/>
  <c r="M1219" i="41"/>
  <c r="N1219" i="41" s="1"/>
  <c r="M1220" i="41"/>
  <c r="N1220" i="41" s="1"/>
  <c r="M1221" i="41"/>
  <c r="N1221" i="41" s="1"/>
  <c r="M1223" i="4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M1264" i="4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7" i="4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M1419" i="41"/>
  <c r="N1419" i="41" s="1"/>
  <c r="M1420" i="41"/>
  <c r="N1420" i="41" s="1"/>
  <c r="M1421" i="41"/>
  <c r="N1421" i="41" s="1"/>
  <c r="M1423" i="4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M1544" i="41"/>
  <c r="M1545" i="41"/>
  <c r="N1545" i="41" s="1"/>
  <c r="M1546" i="41"/>
  <c r="N1546" i="41" s="1"/>
  <c r="M1548" i="4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M1864" i="4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7" i="41"/>
  <c r="M2098" i="41"/>
  <c r="N2098" i="41" s="1"/>
  <c r="M2099" i="41"/>
  <c r="N2099" i="41" s="1"/>
  <c r="M2100" i="41"/>
  <c r="N2100" i="41" s="1"/>
  <c r="M2101" i="41"/>
  <c r="N2101" i="41" s="1"/>
  <c r="M2103" i="41"/>
  <c r="M2104" i="4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M2195" i="41"/>
  <c r="N2195" i="41" s="1"/>
  <c r="M2196" i="41"/>
  <c r="N2196" i="41" s="1"/>
  <c r="M2198" i="41"/>
  <c r="N2198" i="41" s="1"/>
  <c r="M2199" i="4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M2304" i="4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M2340" i="41"/>
  <c r="N2340" i="41" s="1"/>
  <c r="M2341" i="41"/>
  <c r="N2341" i="41" s="1"/>
  <c r="M2343" i="4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11" i="41"/>
  <c r="N24" i="41"/>
  <c r="N40" i="41"/>
  <c r="N128" i="41"/>
  <c r="N144" i="41"/>
  <c r="N200" i="41"/>
  <c r="N240" i="41"/>
  <c r="N248" i="41"/>
  <c r="N280" i="41"/>
  <c r="N363" i="41"/>
  <c r="N368" i="41"/>
  <c r="N419" i="41"/>
  <c r="N424" i="41"/>
  <c r="N443" i="41"/>
  <c r="N448" i="41"/>
  <c r="N488" i="41"/>
  <c r="N528" i="41"/>
  <c r="N560" i="41"/>
  <c r="N568" i="41"/>
  <c r="N579" i="41"/>
  <c r="N608" i="41"/>
  <c r="N611" i="41"/>
  <c r="N635" i="41"/>
  <c r="N656" i="41"/>
  <c r="N688" i="41"/>
  <c r="N728" i="41"/>
  <c r="N736" i="41"/>
  <c r="N883" i="41"/>
  <c r="N888" i="41"/>
  <c r="N896" i="41"/>
  <c r="N915" i="41"/>
  <c r="N995" i="41"/>
  <c r="N1000" i="41"/>
  <c r="N1008" i="41"/>
  <c r="N1064" i="41"/>
  <c r="N1088" i="41"/>
  <c r="N1128" i="41"/>
  <c r="N1176" i="41"/>
  <c r="N1243" i="41"/>
  <c r="N1251" i="41"/>
  <c r="N2243" i="41"/>
  <c r="N2339" i="41"/>
  <c r="K2337" i="41"/>
  <c r="N10" i="41"/>
  <c r="N15" i="41"/>
  <c r="N31" i="41"/>
  <c r="N34" i="41"/>
  <c r="N39" i="41"/>
  <c r="N64" i="41"/>
  <c r="N66" i="41"/>
  <c r="N79" i="41"/>
  <c r="N95" i="41"/>
  <c r="N103" i="41"/>
  <c r="N104" i="41"/>
  <c r="N114" i="41"/>
  <c r="N119" i="41"/>
  <c r="N143" i="41"/>
  <c r="N151" i="41"/>
  <c r="N154" i="41"/>
  <c r="N159" i="41"/>
  <c r="N175" i="41"/>
  <c r="N184" i="41"/>
  <c r="N191" i="41"/>
  <c r="N194" i="41"/>
  <c r="N199" i="41"/>
  <c r="N210" i="41"/>
  <c r="N215" i="41"/>
  <c r="N218" i="41"/>
  <c r="N239" i="41"/>
  <c r="N250" i="41"/>
  <c r="N263" i="41"/>
  <c r="N264" i="41"/>
  <c r="N271" i="41"/>
  <c r="N279" i="41"/>
  <c r="N288" i="41"/>
  <c r="N320" i="41"/>
  <c r="N328" i="41"/>
  <c r="N330" i="41"/>
  <c r="N354" i="41"/>
  <c r="N359" i="41"/>
  <c r="N360" i="41"/>
  <c r="N370" i="41"/>
  <c r="N383" i="41"/>
  <c r="N393" i="41"/>
  <c r="N409" i="41"/>
  <c r="N410" i="41"/>
  <c r="N423" i="41"/>
  <c r="N431" i="41"/>
  <c r="N439" i="41"/>
  <c r="N440" i="41"/>
  <c r="N469" i="41"/>
  <c r="N471" i="41"/>
  <c r="N479" i="41"/>
  <c r="N480" i="41"/>
  <c r="N489" i="41"/>
  <c r="N519" i="41"/>
  <c r="N520" i="41"/>
  <c r="N535" i="41"/>
  <c r="N538" i="41"/>
  <c r="N559" i="41"/>
  <c r="N570" i="41"/>
  <c r="N591" i="41"/>
  <c r="N618" i="41"/>
  <c r="N631" i="41"/>
  <c r="N641" i="41"/>
  <c r="N658" i="41"/>
  <c r="N679" i="41"/>
  <c r="N696" i="41"/>
  <c r="N698" i="41"/>
  <c r="N703" i="41"/>
  <c r="N746" i="41"/>
  <c r="N775" i="41"/>
  <c r="N783" i="41"/>
  <c r="N784" i="41"/>
  <c r="N800" i="41"/>
  <c r="N823" i="41"/>
  <c r="N840" i="41"/>
  <c r="N848" i="41"/>
  <c r="N850" i="41"/>
  <c r="N880" i="41"/>
  <c r="N895" i="41"/>
  <c r="N898" i="41"/>
  <c r="N903" i="41"/>
  <c r="N905" i="41"/>
  <c r="N928" i="41"/>
  <c r="N935" i="41"/>
  <c r="N951" i="41"/>
  <c r="N968" i="41"/>
  <c r="N975" i="41"/>
  <c r="N994" i="41"/>
  <c r="N1013" i="41"/>
  <c r="N1014" i="41"/>
  <c r="N1023" i="41"/>
  <c r="N1055" i="41"/>
  <c r="N1063" i="41"/>
  <c r="N1073" i="41"/>
  <c r="N1074" i="41"/>
  <c r="N1103" i="41"/>
  <c r="N1104" i="41"/>
  <c r="N1113" i="41"/>
  <c r="N1114" i="41"/>
  <c r="N1143" i="41"/>
  <c r="N1151" i="41"/>
  <c r="N1154" i="41"/>
  <c r="N1183" i="41"/>
  <c r="N1184" i="41"/>
  <c r="N1191" i="41"/>
  <c r="N1216" i="41"/>
  <c r="N1223" i="41"/>
  <c r="N1231" i="41"/>
  <c r="N1240" i="41"/>
  <c r="N1250" i="41"/>
  <c r="N1255" i="41"/>
  <c r="N1263" i="41"/>
  <c r="N1264" i="41"/>
  <c r="N1271" i="41"/>
  <c r="N1280" i="41"/>
  <c r="N1295" i="41"/>
  <c r="N1311" i="41"/>
  <c r="N1319" i="41"/>
  <c r="N1320" i="41"/>
  <c r="N1328" i="41"/>
  <c r="N1330" i="41"/>
  <c r="N1338" i="41"/>
  <c r="N1346" i="41"/>
  <c r="N1360" i="41"/>
  <c r="N1378" i="41"/>
  <c r="N1383" i="41"/>
  <c r="N1386" i="41"/>
  <c r="N1394" i="41"/>
  <c r="N1400" i="41"/>
  <c r="N1408" i="41"/>
  <c r="N1410" i="41"/>
  <c r="N1418" i="41"/>
  <c r="N1423" i="41"/>
  <c r="N1426" i="41"/>
  <c r="N1431" i="41"/>
  <c r="N1439" i="41"/>
  <c r="N1448" i="41"/>
  <c r="N1455" i="41"/>
  <c r="N1458" i="41"/>
  <c r="N1463" i="41"/>
  <c r="N1479" i="41"/>
  <c r="N1480" i="41"/>
  <c r="N1488" i="41"/>
  <c r="N1490" i="41"/>
  <c r="N1495" i="41"/>
  <c r="N1496" i="41"/>
  <c r="N1519" i="41"/>
  <c r="N1528" i="41"/>
  <c r="N1543" i="41"/>
  <c r="N1544" i="41"/>
  <c r="N1548" i="41"/>
  <c r="N1583" i="41"/>
  <c r="N1599" i="41"/>
  <c r="N1600" i="41"/>
  <c r="N1616" i="41"/>
  <c r="N1623" i="41"/>
  <c r="N1639" i="41"/>
  <c r="N1640" i="41"/>
  <c r="N1656" i="41"/>
  <c r="N1671" i="41"/>
  <c r="N1688" i="41"/>
  <c r="N1720" i="41"/>
  <c r="N1735" i="41"/>
  <c r="N1768" i="41"/>
  <c r="N1776" i="41"/>
  <c r="N1793" i="41"/>
  <c r="N1800" i="41"/>
  <c r="N1808" i="41"/>
  <c r="N1839" i="41"/>
  <c r="N1848" i="41"/>
  <c r="N1855" i="41"/>
  <c r="N1856" i="41"/>
  <c r="N1863" i="41"/>
  <c r="N1864" i="41"/>
  <c r="N1866" i="41"/>
  <c r="N1879" i="41"/>
  <c r="N1895" i="41"/>
  <c r="N1903" i="41"/>
  <c r="N1904" i="41"/>
  <c r="N1914" i="41"/>
  <c r="N1943" i="41"/>
  <c r="N1951" i="41"/>
  <c r="N1959" i="41"/>
  <c r="N1968" i="41"/>
  <c r="N1984" i="41"/>
  <c r="N2015" i="41"/>
  <c r="N2016" i="41"/>
  <c r="N2023" i="41"/>
  <c r="N2033" i="41"/>
  <c r="N2050" i="41"/>
  <c r="N2055" i="41"/>
  <c r="N2056" i="41"/>
  <c r="N2063" i="41"/>
  <c r="N2071" i="41"/>
  <c r="N2080" i="41"/>
  <c r="N2103" i="41"/>
  <c r="N2104" i="41"/>
  <c r="N2119" i="41"/>
  <c r="N2128" i="41"/>
  <c r="N2146" i="41"/>
  <c r="N2151" i="41"/>
  <c r="N2159" i="41"/>
  <c r="N2160" i="41"/>
  <c r="N2168" i="41"/>
  <c r="N2175" i="41"/>
  <c r="N2194" i="41"/>
  <c r="N2199" i="41"/>
  <c r="N2208" i="41"/>
  <c r="N2215" i="41"/>
  <c r="N2216" i="41"/>
  <c r="N2239" i="41"/>
  <c r="N2255" i="41"/>
  <c r="N2263" i="41"/>
  <c r="N2266" i="41"/>
  <c r="N2271" i="41"/>
  <c r="N2288" i="41"/>
  <c r="N2295" i="41"/>
  <c r="N2303" i="41"/>
  <c r="N2304" i="41"/>
  <c r="N2311" i="41"/>
  <c r="N2330" i="41"/>
  <c r="N2343" i="41"/>
  <c r="N2354" i="41"/>
  <c r="N2360" i="41"/>
  <c r="N2391" i="41"/>
  <c r="N3" i="41"/>
  <c r="N5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L42" i="41" s="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L62" i="41" s="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L192" i="41" s="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K217" i="41"/>
  <c r="J222" i="41"/>
  <c r="M222" i="41" s="1"/>
  <c r="K222" i="41"/>
  <c r="J227" i="41"/>
  <c r="M227" i="41" s="1"/>
  <c r="K227" i="41"/>
  <c r="J232" i="41"/>
  <c r="M232" i="41" s="1"/>
  <c r="K232" i="41"/>
  <c r="L232" i="41" s="1"/>
  <c r="N232" i="41" s="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L262" i="41" s="1"/>
  <c r="J267" i="41"/>
  <c r="M267" i="41" s="1"/>
  <c r="K267" i="41"/>
  <c r="J272" i="41"/>
  <c r="M272" i="41" s="1"/>
  <c r="K272" i="41"/>
  <c r="L272" i="41" s="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L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L397" i="41" s="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L437" i="41" s="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L472" i="41" s="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L512" i="41" s="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L552" i="41" s="1"/>
  <c r="N552" i="41" s="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L582" i="41" s="1"/>
  <c r="J587" i="41"/>
  <c r="M587" i="41" s="1"/>
  <c r="K587" i="41"/>
  <c r="J592" i="41"/>
  <c r="M592" i="41" s="1"/>
  <c r="K592" i="41"/>
  <c r="L592" i="41" s="1"/>
  <c r="N592" i="41" s="1"/>
  <c r="J597" i="41"/>
  <c r="M597" i="41" s="1"/>
  <c r="K597" i="41"/>
  <c r="L597" i="41" s="1"/>
  <c r="J602" i="41"/>
  <c r="M602" i="41" s="1"/>
  <c r="K602" i="41"/>
  <c r="L602" i="41" s="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L622" i="41" s="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L642" i="41" s="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L662" i="41" s="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L802" i="41" s="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K837" i="41"/>
  <c r="J842" i="41"/>
  <c r="M842" i="41" s="1"/>
  <c r="K842" i="41"/>
  <c r="L842" i="41" s="1"/>
  <c r="N842" i="41" s="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L862" i="41" s="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L882" i="41" s="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L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L1102" i="41" s="1"/>
  <c r="J1107" i="41"/>
  <c r="M1107" i="41" s="1"/>
  <c r="K1107" i="41"/>
  <c r="J1112" i="41"/>
  <c r="M1112" i="41" s="1"/>
  <c r="K1112" i="41"/>
  <c r="L1112" i="41" s="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L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K1217" i="41"/>
  <c r="J1222" i="41"/>
  <c r="M1222" i="41" s="1"/>
  <c r="K1222" i="41"/>
  <c r="J1227" i="41"/>
  <c r="M1227" i="41" s="1"/>
  <c r="K1227" i="41"/>
  <c r="J1232" i="41"/>
  <c r="M1232" i="41" s="1"/>
  <c r="K1232" i="41"/>
  <c r="L1232" i="41" s="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L1282" i="41" s="1"/>
  <c r="J1287" i="41"/>
  <c r="M1287" i="41" s="1"/>
  <c r="K1287" i="41"/>
  <c r="J1292" i="41"/>
  <c r="M1292" i="41" s="1"/>
  <c r="K1292" i="41"/>
  <c r="J1297" i="41"/>
  <c r="K1297" i="41"/>
  <c r="J1302" i="41"/>
  <c r="M1302" i="41" s="1"/>
  <c r="K1302" i="41"/>
  <c r="L1302" i="41" s="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L1322" i="41" s="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L1362" i="41" s="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L1417" i="41" s="1"/>
  <c r="J1422" i="41"/>
  <c r="M1422" i="41" s="1"/>
  <c r="K1422" i="41"/>
  <c r="L1422" i="41" s="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L1442" i="41" s="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L1482" i="41" s="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L1522" i="41" s="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L1562" i="41" s="1"/>
  <c r="N1562" i="41" s="1"/>
  <c r="J1567" i="41"/>
  <c r="M1567" i="41" s="1"/>
  <c r="K1567" i="41"/>
  <c r="J1572" i="41"/>
  <c r="M1572" i="41" s="1"/>
  <c r="K1572" i="41"/>
  <c r="J1577" i="41"/>
  <c r="M1577" i="41" s="1"/>
  <c r="K1577" i="41"/>
  <c r="L1577" i="41" s="1"/>
  <c r="J1582" i="41"/>
  <c r="M1582" i="41" s="1"/>
  <c r="K1582" i="41"/>
  <c r="L1582" i="41" s="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L1617" i="41" s="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L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L1712" i="41" s="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L1742" i="41" s="1"/>
  <c r="J1747" i="41"/>
  <c r="M1747" i="41" s="1"/>
  <c r="K1747" i="41"/>
  <c r="J1752" i="41"/>
  <c r="M1752" i="41" s="1"/>
  <c r="K1752" i="41"/>
  <c r="J1757" i="41"/>
  <c r="M1757" i="41" s="1"/>
  <c r="K1757" i="41"/>
  <c r="L1757" i="41" s="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L1797" i="41" s="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L1832" i="41" s="1"/>
  <c r="J1837" i="41"/>
  <c r="M1837" i="41" s="1"/>
  <c r="K1837" i="41"/>
  <c r="J1842" i="41"/>
  <c r="M1842" i="41" s="1"/>
  <c r="K1842" i="41"/>
  <c r="J1847" i="41"/>
  <c r="M1847" i="41" s="1"/>
  <c r="K1847" i="41"/>
  <c r="L1847" i="41" s="1"/>
  <c r="N1847" i="41" s="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L1882" i="41" s="1"/>
  <c r="N1882" i="41" s="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L1902" i="41" s="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L1922" i="41" s="1"/>
  <c r="J1927" i="41"/>
  <c r="M1927" i="41" s="1"/>
  <c r="K1927" i="41"/>
  <c r="J1932" i="41"/>
  <c r="M1932" i="41" s="1"/>
  <c r="K1932" i="41"/>
  <c r="J1937" i="41"/>
  <c r="M1937" i="41" s="1"/>
  <c r="K1937" i="41"/>
  <c r="L1937" i="41" s="1"/>
  <c r="N1937" i="41" s="1"/>
  <c r="J1942" i="41"/>
  <c r="M1942" i="41" s="1"/>
  <c r="K1942" i="41"/>
  <c r="L1942" i="41" s="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L1997" i="41" s="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L2047" i="41" s="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L2082" i="41" s="1"/>
  <c r="J2087" i="41"/>
  <c r="M2087" i="41" s="1"/>
  <c r="K2087" i="41"/>
  <c r="J2092" i="41"/>
  <c r="M2092" i="41" s="1"/>
  <c r="K2092" i="41"/>
  <c r="J2097" i="41"/>
  <c r="K2097" i="41"/>
  <c r="J2102" i="41"/>
  <c r="M2102" i="41" s="1"/>
  <c r="K2102" i="41"/>
  <c r="L2102" i="41" s="1"/>
  <c r="J2107" i="41"/>
  <c r="M2107" i="41" s="1"/>
  <c r="K2107" i="41"/>
  <c r="J2112" i="41"/>
  <c r="M2112" i="41" s="1"/>
  <c r="K2112" i="41"/>
  <c r="L2112" i="41" s="1"/>
  <c r="N2112" i="41" s="1"/>
  <c r="J2117" i="41"/>
  <c r="M2117" i="41" s="1"/>
  <c r="K2117" i="41"/>
  <c r="L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L2157" i="41" s="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L2197" i="41" s="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L2217" i="41" s="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L2277" i="41" s="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L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L2357" i="41" s="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L2382" i="41" s="1"/>
  <c r="J2387" i="41"/>
  <c r="M2387" i="41" s="1"/>
  <c r="K2387" i="41"/>
  <c r="L2387" i="41" s="1"/>
  <c r="N2387" i="41" s="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N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L1052" i="41" s="1"/>
  <c r="I1057" i="41"/>
  <c r="I1062" i="41"/>
  <c r="I1067" i="41"/>
  <c r="L1067" i="41" s="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L1157" i="41" s="1"/>
  <c r="I1162" i="41"/>
  <c r="I1167" i="41"/>
  <c r="I1172" i="41"/>
  <c r="I1177" i="41"/>
  <c r="I1182" i="41"/>
  <c r="I1187" i="41"/>
  <c r="I1192" i="41"/>
  <c r="I1197" i="41"/>
  <c r="I1202" i="41"/>
  <c r="I1207" i="41"/>
  <c r="I1212" i="41"/>
  <c r="L1212" i="41" s="1"/>
  <c r="N1212" i="41" s="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L1372" i="41" s="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L1512" i="41" s="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N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L1707" i="41" s="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L1852" i="41" s="1"/>
  <c r="I1857" i="41"/>
  <c r="I1862" i="41"/>
  <c r="I1867" i="41"/>
  <c r="I1872" i="41"/>
  <c r="I1877" i="41"/>
  <c r="I1882" i="41"/>
  <c r="I1887" i="41"/>
  <c r="L1887" i="41" s="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L1992" i="41" s="1"/>
  <c r="N1992" i="41" s="1"/>
  <c r="I1997" i="41"/>
  <c r="I2002" i="41"/>
  <c r="I2007" i="41"/>
  <c r="I2012" i="41"/>
  <c r="I2017" i="41"/>
  <c r="I2022" i="41"/>
  <c r="I2027" i="41"/>
  <c r="L2027" i="41" s="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N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L2362" i="41" s="1"/>
  <c r="I2367" i="41"/>
  <c r="I2372" i="41"/>
  <c r="I2377" i="41"/>
  <c r="I2382" i="41"/>
  <c r="K2" i="41"/>
  <c r="I2" i="41"/>
  <c r="AI10" i="41"/>
  <c r="L692" i="41" l="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L212" i="41"/>
  <c r="V1238" i="41"/>
  <c r="X1238" i="41" s="1"/>
  <c r="V950" i="41"/>
  <c r="X950" i="41" s="1"/>
  <c r="L1692" i="41"/>
  <c r="N1692" i="41" s="1"/>
  <c r="N322" i="4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L2087" i="41"/>
  <c r="N2087" i="41" s="1"/>
  <c r="L1032" i="41"/>
  <c r="N1032" i="41" s="1"/>
  <c r="N602" i="4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N1922" i="41"/>
  <c r="L1867" i="41"/>
  <c r="N1867" i="41" s="1"/>
  <c r="N1602" i="41"/>
  <c r="L867" i="41"/>
  <c r="N342" i="41"/>
  <c r="N231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N1877" i="41"/>
  <c r="L1822" i="41"/>
  <c r="N1822" i="41" s="1"/>
  <c r="L1802" i="41"/>
  <c r="N1802" i="41" s="1"/>
  <c r="L1677" i="41"/>
  <c r="N1677" i="41" s="1"/>
  <c r="L1622" i="4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N2002" i="4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N1622" i="41"/>
  <c r="L1492" i="41"/>
  <c r="N1492" i="41" s="1"/>
  <c r="L1437" i="41"/>
  <c r="N1437" i="41" s="1"/>
  <c r="N1422" i="4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N2382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882" i="41"/>
  <c r="N772" i="41"/>
  <c r="N662" i="41"/>
  <c r="N532" i="41"/>
  <c r="L417" i="41"/>
  <c r="N417" i="41" s="1"/>
  <c r="L342" i="41"/>
  <c r="L302" i="41"/>
  <c r="N302" i="41" s="1"/>
  <c r="N212" i="41"/>
  <c r="L97" i="41"/>
  <c r="N97" i="41" s="1"/>
  <c r="N62" i="41"/>
  <c r="N4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N2012" i="4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57" i="41"/>
  <c r="L2317" i="41"/>
  <c r="L2262" i="41"/>
  <c r="N2262" i="41" s="1"/>
  <c r="L2097" i="41"/>
  <c r="N2082" i="4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L1082" i="41"/>
  <c r="L1062" i="41"/>
  <c r="L1027" i="41"/>
  <c r="N1027" i="41" s="1"/>
  <c r="L1007" i="41"/>
  <c r="N1007" i="41" s="1"/>
  <c r="N972" i="41"/>
  <c r="N802" i="41"/>
  <c r="L762" i="41"/>
  <c r="L672" i="41"/>
  <c r="L652" i="4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372" i="41"/>
  <c r="N2172" i="41"/>
  <c r="L2132" i="41"/>
  <c r="L2077" i="41"/>
  <c r="N2062" i="41"/>
  <c r="L2042" i="41"/>
  <c r="N2042" i="41" s="1"/>
  <c r="L2022" i="41"/>
  <c r="N2022" i="41" s="1"/>
  <c r="L1987" i="41"/>
  <c r="L1967" i="41"/>
  <c r="N1967" i="41" s="1"/>
  <c r="N1912" i="41"/>
  <c r="L1877" i="41"/>
  <c r="L1842" i="41"/>
  <c r="N1842" i="41" s="1"/>
  <c r="L1787" i="41"/>
  <c r="L1767" i="41"/>
  <c r="N1767" i="41" s="1"/>
  <c r="L1732" i="41"/>
  <c r="L1662" i="41"/>
  <c r="N1662" i="41" s="1"/>
  <c r="L1642" i="41"/>
  <c r="N1642" i="41" s="1"/>
  <c r="L1587" i="41"/>
  <c r="N1587" i="41" s="1"/>
  <c r="N1517" i="41"/>
  <c r="N1372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N1082" i="4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N2077" i="41"/>
  <c r="L2367" i="41"/>
  <c r="N2367" i="41" s="1"/>
  <c r="L2257" i="41"/>
  <c r="N2257" i="41" s="1"/>
  <c r="N2132" i="41"/>
  <c r="L2002" i="41"/>
  <c r="L1187" i="41"/>
  <c r="N1187" i="41" s="1"/>
  <c r="L1167" i="41"/>
  <c r="L1077" i="41"/>
  <c r="N1077" i="41" s="1"/>
  <c r="L852" i="41"/>
  <c r="N852" i="41" s="1"/>
  <c r="L702" i="41"/>
  <c r="N702" i="41" s="1"/>
  <c r="L572" i="4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N652" i="4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183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82" i="41"/>
  <c r="N1547" i="41"/>
  <c r="N1442" i="41"/>
  <c r="N1407" i="41"/>
  <c r="N1192" i="41"/>
  <c r="N1052" i="41"/>
  <c r="N867" i="41"/>
  <c r="N29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32" i="41"/>
  <c r="N1712" i="41"/>
  <c r="N1707" i="41"/>
  <c r="L1687" i="41"/>
  <c r="N1687" i="41" s="1"/>
  <c r="N1672" i="4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92" i="41"/>
  <c r="N1072" i="41"/>
  <c r="N1067" i="41"/>
  <c r="L1047" i="41"/>
  <c r="N1047" i="41" s="1"/>
  <c r="N1012" i="41"/>
  <c r="N962" i="41"/>
  <c r="N952" i="41"/>
  <c r="N947" i="41"/>
  <c r="N902" i="41"/>
  <c r="L827" i="41"/>
  <c r="N827" i="41" s="1"/>
  <c r="N782" i="41"/>
  <c r="N747" i="41"/>
  <c r="N692" i="41"/>
  <c r="N672" i="41"/>
  <c r="N642" i="41"/>
  <c r="N582" i="41"/>
  <c r="N572" i="41"/>
  <c r="L507" i="41"/>
  <c r="N507" i="41" s="1"/>
  <c r="N462" i="41"/>
  <c r="N397" i="41"/>
  <c r="N372" i="41"/>
  <c r="N307" i="41"/>
  <c r="N272" i="41"/>
  <c r="N262" i="41"/>
  <c r="L187" i="41"/>
  <c r="N187" i="41" s="1"/>
  <c r="N142" i="41"/>
  <c r="N107" i="41"/>
  <c r="N52" i="41"/>
  <c r="N32" i="41"/>
  <c r="N20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2027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67" i="41"/>
  <c r="N1112" i="41"/>
  <c r="N1062" i="41"/>
  <c r="L987" i="41"/>
  <c r="N987" i="41" s="1"/>
  <c r="N877" i="41"/>
  <c r="N787" i="41"/>
  <c r="L667" i="41"/>
  <c r="N667" i="41" s="1"/>
  <c r="N622" i="41"/>
  <c r="N51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17" i="41"/>
  <c r="N677" i="41"/>
  <c r="N43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720" i="41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U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I11" i="29"/>
  <c r="H11" i="29"/>
  <c r="G11" i="29"/>
  <c r="D11" i="29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I7" i="29"/>
  <c r="H7" i="29"/>
  <c r="G7" i="29"/>
  <c r="D7" i="29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0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1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0" i="18" l="1"/>
  <c r="F24" i="18" s="1"/>
  <c r="G113" i="20"/>
  <c r="J114" i="20"/>
  <c r="I114" i="20"/>
  <c r="K114" i="20"/>
  <c r="L71" i="18"/>
  <c r="E33" i="13"/>
  <c r="G34" i="13"/>
  <c r="F108" i="15"/>
  <c r="C20" i="18"/>
  <c r="G20" i="14"/>
  <c r="G21" i="14"/>
  <c r="G112" i="20" l="1"/>
  <c r="K113" i="20"/>
  <c r="J113" i="20"/>
  <c r="I113" i="20"/>
  <c r="L72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75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<sst xmlns="http://schemas.openxmlformats.org/spreadsheetml/2006/main" count="11655" uniqueCount="5014">
  <si>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</si>
  <si>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</si>
  <si>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</si>
  <si>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</si>
  <si>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</si>
  <si>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</si>
  <si>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</si>
  <si>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</si>
  <si>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</si>
  <si>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</si>
  <si>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</si>
  <si>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</si>
  <si>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</si>
  <si>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</si>
  <si>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</si>
  <si>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</si>
  <si>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</si>
  <si>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</si>
  <si>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</si>
  <si>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</si>
  <si>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</si>
  <si>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</si>
  <si>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</si>
  <si>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</si>
  <si>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</si>
  <si>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</si>
  <si>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</si>
  <si>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</si>
  <si>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</si>
  <si>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</si>
  <si>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</si>
  <si>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</si>
  <si>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</si>
  <si>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</si>
  <si>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</si>
  <si>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</si>
  <si>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</si>
  <si>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</si>
  <si>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</si>
  <si>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</si>
  <si>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</si>
  <si>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</si>
  <si>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</si>
  <si>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</si>
  <si>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</si>
  <si>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</si>
  <si>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</si>
  <si>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</si>
  <si>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</si>
  <si>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</si>
  <si>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</si>
  <si>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</si>
  <si>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</si>
  <si>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</si>
  <si>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</si>
  <si>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</si>
  <si>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</si>
  <si>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</si>
  <si>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</si>
  <si>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</si>
  <si>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</si>
  <si>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</si>
  <si>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</si>
  <si>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</si>
  <si>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</si>
  <si>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</si>
  <si>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</si>
  <si>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</si>
  <si>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</si>
  <si>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</si>
  <si>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</si>
  <si>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</si>
  <si>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</si>
  <si>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</si>
  <si>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</si>
  <si>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</si>
  <si>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</si>
  <si>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</si>
  <si>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</si>
  <si>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</si>
  <si>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</si>
  <si>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</si>
  <si>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</si>
  <si>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</si>
  <si>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</si>
  <si>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</si>
  <si>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</si>
  <si>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</si>
  <si>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</si>
  <si>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</si>
  <si>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</si>
  <si>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</si>
  <si>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</si>
  <si>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</si>
  <si>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</si>
  <si>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</si>
  <si>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</si>
  <si>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</si>
  <si>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</si>
  <si>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</si>
  <si>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</si>
  <si>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</si>
  <si>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</si>
  <si>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</si>
  <si>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</si>
  <si>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</si>
  <si>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</si>
  <si>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</si>
  <si>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</si>
  <si>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</si>
  <si>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</si>
  <si>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</si>
  <si>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</si>
  <si>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</si>
  <si>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</si>
  <si>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</si>
  <si>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</si>
  <si>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</si>
  <si>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</si>
  <si>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</si>
  <si>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</si>
  <si>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</si>
  <si>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</si>
  <si>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</si>
  <si>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</si>
  <si>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</si>
  <si>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</si>
  <si>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</si>
  <si>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</si>
  <si>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</si>
  <si>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</si>
  <si>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</si>
  <si>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</si>
  <si>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</si>
  <si>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</si>
  <si>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</si>
  <si>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</si>
  <si>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</si>
  <si>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</si>
  <si>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</si>
  <si>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</si>
  <si>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</si>
  <si>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</si>
  <si>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</si>
  <si>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</si>
  <si>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</si>
  <si>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</si>
  <si>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</si>
  <si>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</si>
  <si>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</si>
  <si>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</si>
  <si>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</si>
  <si>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</si>
  <si>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</si>
  <si>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</si>
  <si>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</si>
  <si>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</si>
  <si>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</si>
  <si>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</si>
  <si>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</si>
  <si>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</si>
  <si>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</si>
  <si>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</si>
  <si>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</si>
  <si>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</si>
  <si>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</si>
  <si>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</si>
  <si>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</si>
  <si>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</si>
  <si>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</si>
  <si>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</si>
  <si>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</si>
  <si>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</si>
  <si>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</si>
  <si>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</si>
  <si>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</si>
  <si>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</si>
  <si>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</si>
  <si>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</si>
  <si>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</si>
  <si>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</si>
  <si>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</si>
  <si>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</si>
  <si>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</si>
  <si>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</si>
  <si>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</si>
  <si>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</si>
  <si>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</si>
  <si>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</si>
  <si>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</si>
  <si>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</si>
  <si>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</si>
  <si>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</si>
  <si>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</si>
  <si>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</si>
  <si>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</si>
  <si>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</si>
  <si>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</si>
  <si>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</si>
  <si>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</si>
  <si>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</si>
  <si>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</si>
  <si>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</si>
  <si>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</si>
  <si>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</si>
  <si>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</si>
  <si>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</si>
  <si>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</si>
  <si>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</si>
  <si>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</si>
  <si>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</si>
  <si>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</si>
  <si>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</si>
  <si>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</si>
  <si>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</si>
  <si>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</si>
  <si>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</si>
  <si>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</si>
  <si>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</si>
  <si>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</si>
  <si>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</si>
  <si>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</si>
  <si>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</si>
  <si>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</si>
  <si>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</si>
  <si>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</si>
  <si>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</si>
  <si>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</si>
  <si>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</si>
  <si>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</si>
  <si>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</si>
  <si>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</si>
  <si>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</si>
  <si>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</si>
  <si>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</si>
  <si>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</si>
  <si>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</si>
  <si>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</si>
  <si>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</si>
  <si>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</si>
  <si>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</si>
  <si>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</si>
  <si>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</si>
  <si>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</si>
  <si>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</si>
  <si>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</si>
  <si>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</si>
  <si>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</si>
  <si>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</si>
  <si>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</si>
  <si>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</si>
  <si>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</si>
  <si>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</si>
  <si>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</si>
  <si>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</si>
  <si>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</si>
  <si>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</si>
  <si>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</si>
  <si>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</si>
  <si>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</si>
  <si>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</si>
  <si>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</si>
  <si>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</si>
  <si>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</si>
  <si>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</si>
  <si>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</si>
  <si>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</si>
  <si>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</si>
  <si>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</si>
  <si>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</si>
  <si>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</si>
  <si>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</si>
  <si>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</si>
  <si>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</si>
  <si>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</si>
  <si>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</si>
  <si>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</si>
  <si>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</si>
  <si>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</si>
  <si>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</si>
  <si>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</si>
  <si>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</si>
  <si>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</si>
  <si>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</si>
  <si>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</si>
  <si>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</si>
  <si>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</si>
  <si>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</si>
  <si>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</si>
  <si>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</si>
  <si>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</si>
  <si>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</si>
  <si>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</si>
  <si>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</si>
  <si>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</si>
  <si>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</si>
  <si>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</si>
  <si>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</si>
  <si>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</si>
  <si>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</si>
  <si>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</si>
  <si>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</si>
  <si>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</si>
  <si>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</si>
  <si>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</si>
  <si>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</si>
  <si>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</si>
  <si>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</si>
  <si>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</si>
  <si>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</si>
  <si>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</si>
  <si>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</si>
  <si>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</si>
  <si>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</si>
  <si>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</si>
  <si>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</si>
  <si>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</si>
  <si>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</si>
  <si>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</si>
  <si>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</si>
  <si>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</si>
  <si>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</si>
  <si>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</si>
  <si>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</si>
  <si>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</si>
  <si>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</si>
  <si>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</si>
  <si>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</si>
  <si>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</si>
  <si>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</si>
  <si>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</si>
  <si>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</si>
  <si>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</si>
  <si>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</si>
  <si>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</si>
  <si>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</si>
  <si>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</si>
  <si>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</si>
  <si>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</si>
  <si>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</si>
  <si>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</si>
  <si>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</si>
  <si>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</si>
  <si>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</si>
  <si>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</si>
  <si>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</si>
  <si>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</si>
  <si>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</si>
  <si>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</si>
  <si>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</si>
  <si>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</si>
  <si>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</si>
  <si>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</si>
  <si>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</si>
  <si>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</si>
  <si>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</si>
  <si>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</si>
  <si>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</si>
  <si>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</si>
  <si>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</si>
  <si>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</si>
  <si>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</si>
  <si>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</si>
  <si>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</si>
  <si>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</si>
  <si>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</si>
  <si>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</si>
  <si>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</si>
  <si>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</si>
  <si>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</si>
  <si>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</si>
  <si>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</si>
  <si>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</si>
  <si>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</si>
  <si>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</si>
  <si>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</si>
  <si>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</si>
  <si>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</si>
  <si>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</si>
  <si>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</si>
  <si>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</si>
  <si>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</si>
  <si>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</si>
  <si>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</si>
  <si>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</si>
  <si>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</si>
  <si>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</si>
  <si>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</si>
  <si>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</si>
  <si>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</si>
  <si>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</si>
  <si>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</si>
  <si>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</si>
  <si>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</si>
  <si>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</si>
  <si>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</si>
  <si>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</si>
  <si>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</si>
  <si>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</si>
  <si>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</si>
  <si>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</si>
  <si>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</si>
  <si>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</si>
  <si>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</si>
  <si>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</si>
  <si>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</si>
  <si>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</si>
  <si>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</si>
  <si>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</si>
  <si>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</si>
  <si>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</si>
  <si>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</si>
  <si>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</si>
  <si>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</si>
  <si>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</si>
  <si>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</si>
  <si>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</si>
  <si>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</si>
  <si>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</si>
  <si>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</si>
  <si>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</si>
  <si>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</si>
  <si>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</si>
  <si>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</si>
  <si>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</si>
  <si>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</si>
  <si>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</si>
  <si>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</si>
  <si>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</si>
  <si>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</si>
  <si>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</si>
  <si>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</si>
  <si>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</si>
  <si>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</si>
  <si>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</si>
  <si>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</si>
  <si>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</si>
  <si>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</si>
  <si>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</si>
  <si>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</si>
  <si>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</si>
  <si>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</si>
  <si>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</si>
  <si>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</si>
  <si>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</si>
  <si>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</si>
  <si>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</si>
  <si>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</si>
  <si>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</si>
  <si>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</si>
  <si>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</si>
  <si>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</si>
  <si>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</si>
  <si>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</si>
  <si>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</si>
  <si>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</si>
  <si>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</si>
  <si>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</si>
  <si>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</si>
  <si>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</si>
  <si>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</si>
  <si>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</si>
  <si>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</si>
  <si>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</si>
  <si>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</si>
  <si>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</si>
  <si>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</si>
  <si>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</si>
  <si>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</si>
  <si>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</si>
  <si>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</si>
  <si>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</si>
  <si>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</si>
  <si>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</si>
  <si>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</si>
  <si>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</si>
  <si>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</si>
  <si>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</si>
  <si>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</si>
  <si>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</si>
  <si>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</si>
  <si>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</si>
  <si>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</si>
  <si>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</si>
  <si>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</si>
  <si>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</si>
  <si>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</si>
  <si>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</si>
  <si>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</si>
  <si>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</si>
  <si>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</si>
  <si>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</si>
  <si>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</si>
  <si>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</si>
  <si>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</si>
  <si>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</si>
  <si>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</si>
  <si>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</si>
  <si>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</si>
  <si>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</si>
  <si>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</si>
  <si>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</si>
  <si>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</si>
  <si>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</si>
  <si>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</si>
  <si>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</si>
  <si>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</si>
  <si>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</si>
  <si>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</si>
  <si>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</si>
  <si>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</si>
  <si>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</si>
  <si>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</si>
  <si>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</si>
  <si>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</si>
  <si>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</si>
  <si>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</si>
  <si>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</si>
  <si>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</si>
  <si>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</si>
  <si>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</si>
  <si>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</si>
  <si>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</si>
  <si>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</si>
  <si>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</si>
  <si>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</si>
  <si>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</si>
  <si>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</si>
  <si>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</si>
  <si>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</si>
  <si>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</si>
  <si>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</si>
  <si>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</si>
  <si>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</si>
  <si>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</si>
  <si>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</si>
  <si>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</si>
  <si>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</si>
  <si>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</si>
  <si>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</si>
  <si>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</si>
  <si>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</si>
  <si>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</si>
  <si>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</si>
  <si>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</si>
  <si>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</si>
  <si>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</si>
  <si>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</si>
  <si>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</si>
  <si>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</si>
  <si>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</si>
  <si>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</si>
  <si>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</si>
  <si>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</si>
  <si>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</si>
  <si>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</si>
  <si>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</si>
  <si>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</si>
  <si>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</si>
  <si>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</si>
  <si>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</si>
  <si>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</si>
  <si>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</si>
  <si>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</si>
  <si>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</si>
  <si>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</si>
  <si>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</si>
  <si>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</si>
  <si>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</si>
  <si>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</si>
  <si>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</si>
  <si>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</si>
  <si>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</si>
  <si>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</si>
  <si>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</si>
  <si>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</si>
  <si>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</si>
  <si>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</si>
  <si>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</si>
  <si>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</si>
  <si>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</si>
  <si>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</si>
  <si>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</si>
  <si>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</si>
  <si>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</si>
  <si>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</si>
  <si>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</si>
  <si>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</si>
  <si>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</si>
  <si>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</si>
  <si>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</si>
  <si>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</si>
  <si>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</si>
  <si>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</si>
  <si>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</si>
  <si>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</si>
  <si>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</si>
  <si>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</si>
  <si>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</si>
  <si>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</si>
  <si>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</si>
  <si>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</si>
  <si>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</si>
  <si>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</si>
  <si>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</si>
  <si>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</si>
  <si>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</si>
  <si>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</si>
  <si>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</si>
  <si>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</si>
  <si>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</si>
  <si>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</si>
  <si>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</si>
  <si>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</si>
  <si>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</si>
  <si>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</si>
  <si>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</si>
  <si>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</si>
  <si>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</si>
  <si>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</si>
  <si>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</si>
  <si>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</si>
  <si>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</si>
  <si>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</si>
  <si>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</si>
  <si>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</si>
  <si>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</si>
  <si>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</si>
  <si>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</si>
  <si>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</si>
  <si>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</si>
  <si>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</si>
  <si>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</si>
  <si>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</si>
  <si>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</si>
  <si>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</si>
  <si>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</si>
  <si>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</si>
  <si>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</si>
  <si>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</si>
  <si>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</si>
  <si>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</si>
  <si>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</si>
  <si>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</si>
  <si>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</si>
  <si>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</si>
  <si>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</si>
  <si>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</si>
  <si>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</si>
  <si>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</si>
  <si>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</si>
  <si>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</si>
  <si>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</si>
  <si>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</si>
  <si>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</si>
  <si>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</si>
  <si>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</si>
  <si>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</si>
  <si>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</si>
  <si>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</si>
  <si>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</si>
  <si>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</si>
  <si>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</si>
  <si>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</si>
  <si>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</si>
  <si>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</si>
  <si>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</si>
  <si>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</si>
  <si>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</si>
  <si>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</si>
  <si>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</si>
  <si>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</si>
  <si>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</si>
  <si>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</si>
  <si>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</si>
  <si>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</si>
  <si>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</si>
  <si>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</si>
  <si>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</si>
  <si>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</si>
  <si>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</si>
  <si>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</si>
  <si>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</si>
  <si>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</si>
  <si>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</si>
  <si>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</si>
  <si>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</si>
  <si>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</si>
  <si>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</si>
  <si>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</si>
  <si>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</si>
  <si>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</si>
  <si>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</si>
  <si>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</si>
  <si>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</si>
  <si>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</si>
  <si>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</si>
  <si>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</si>
  <si>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</si>
  <si>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</si>
  <si>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</si>
  <si>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</si>
  <si>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</si>
  <si>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</si>
  <si>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</si>
  <si>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</si>
  <si>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</si>
  <si>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</si>
  <si>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</si>
  <si>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</si>
  <si>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</si>
  <si>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</si>
  <si>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</si>
  <si>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</si>
  <si>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</si>
  <si>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</si>
  <si>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</si>
  <si>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</si>
  <si>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</si>
  <si>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</si>
  <si>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</si>
  <si>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</si>
  <si>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</si>
  <si>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</si>
  <si>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</si>
  <si>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</si>
  <si>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</si>
  <si>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</si>
  <si>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</si>
  <si>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</si>
  <si>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</si>
  <si>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</si>
  <si>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</si>
  <si>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</si>
  <si>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</si>
  <si>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</si>
  <si>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</si>
  <si>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</si>
  <si>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</si>
  <si>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</si>
  <si>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</si>
  <si>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</si>
  <si>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</si>
  <si>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</si>
  <si>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</si>
  <si>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</si>
  <si>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</si>
  <si>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</si>
  <si>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</si>
  <si>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</si>
  <si>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</si>
  <si>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</si>
  <si>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</si>
  <si>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</si>
  <si>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</si>
  <si>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</si>
  <si>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</si>
  <si>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</si>
  <si>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</si>
  <si>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</si>
  <si>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</si>
  <si>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</si>
  <si>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</si>
  <si>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</si>
  <si>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</si>
  <si>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</si>
  <si>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</si>
  <si>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</si>
  <si>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</si>
  <si>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</si>
  <si>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</si>
  <si>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</si>
  <si>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</si>
  <si>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</si>
  <si>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</si>
  <si>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</si>
  <si>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</si>
  <si>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</si>
  <si>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</si>
  <si>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</si>
  <si>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</si>
  <si>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</si>
  <si>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</si>
  <si>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</si>
  <si>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</si>
  <si>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</si>
  <si>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</si>
  <si>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</si>
  <si>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</si>
  <si>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</si>
  <si>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</si>
  <si>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</si>
  <si>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</si>
  <si>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</si>
  <si>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</si>
  <si>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</si>
  <si>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</si>
  <si>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</si>
  <si>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</si>
  <si>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</si>
  <si>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</si>
  <si>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</si>
  <si>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</si>
  <si>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</si>
  <si>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</si>
  <si>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</si>
  <si>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</si>
  <si>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</si>
  <si>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</si>
  <si>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</si>
  <si>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</si>
  <si>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</si>
  <si>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</si>
  <si>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</si>
  <si>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</si>
  <si>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</si>
  <si>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</si>
  <si>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</si>
  <si>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</si>
  <si>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</si>
  <si>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</si>
  <si>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</si>
  <si>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</si>
  <si>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</si>
  <si>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</si>
  <si>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</si>
  <si>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</si>
  <si>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</si>
  <si>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</si>
  <si>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</si>
  <si>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</si>
  <si>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</si>
  <si>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</si>
  <si>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</si>
  <si>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</si>
  <si>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</si>
  <si>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</si>
  <si>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</si>
  <si>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</si>
  <si>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</si>
  <si>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</si>
  <si>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</si>
  <si>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</si>
  <si>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</si>
  <si>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</si>
  <si>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</si>
  <si>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</si>
  <si>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</si>
  <si>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</si>
  <si>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</si>
  <si>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</si>
  <si>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</si>
  <si>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</si>
  <si>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</si>
  <si>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</si>
  <si>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</si>
  <si>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</si>
  <si>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</si>
  <si>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</si>
  <si>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</si>
  <si>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</si>
  <si>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</si>
  <si>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</si>
  <si>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</si>
  <si>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</si>
  <si>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</si>
  <si>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</si>
  <si>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</si>
  <si>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</si>
  <si>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</si>
  <si>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</si>
  <si>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</si>
  <si>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</si>
  <si>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</si>
  <si>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</si>
  <si>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</si>
  <si>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</si>
  <si>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</si>
  <si>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</si>
  <si>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</si>
  <si>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</si>
  <si>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</si>
  <si>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</si>
  <si>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</si>
  <si>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</si>
  <si>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</si>
  <si>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</si>
  <si>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</si>
  <si>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</si>
  <si>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</si>
  <si>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</si>
  <si>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</si>
  <si>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</si>
  <si>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</si>
  <si>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</si>
  <si>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</si>
  <si>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</si>
  <si>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</si>
  <si>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</si>
  <si>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</si>
  <si>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</si>
  <si>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</si>
  <si>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</si>
  <si>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</si>
  <si>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</si>
  <si>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</si>
  <si>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</si>
  <si>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</si>
  <si>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</si>
  <si>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</si>
  <si>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</si>
  <si>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</si>
  <si>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</si>
  <si>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</si>
  <si>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</si>
  <si>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</si>
  <si>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</si>
  <si>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</si>
  <si>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</si>
  <si>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</si>
  <si>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</si>
  <si>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</si>
  <si>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</si>
  <si>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</si>
  <si>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</si>
  <si>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</si>
  <si>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</si>
  <si>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</si>
  <si>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</si>
  <si>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</si>
  <si>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</si>
  <si>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</si>
  <si>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</si>
  <si>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</si>
  <si>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</si>
  <si>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</si>
  <si>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</si>
  <si>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</si>
  <si>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</si>
  <si>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</si>
  <si>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</si>
  <si>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</si>
  <si>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</si>
  <si>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</si>
  <si>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</si>
  <si>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</si>
  <si>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</si>
  <si>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</si>
  <si>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</si>
  <si>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</si>
  <si>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</si>
  <si>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</si>
  <si>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</si>
  <si>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</si>
  <si>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</si>
  <si>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</si>
  <si>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</si>
  <si>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</si>
  <si>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</si>
  <si>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</si>
  <si>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</si>
  <si>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</si>
  <si>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</si>
  <si>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</si>
  <si>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</si>
  <si>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</si>
  <si>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</si>
  <si>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</si>
  <si>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</si>
  <si>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</si>
  <si>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</si>
  <si>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</si>
  <si>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</si>
  <si>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</si>
  <si>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</si>
  <si>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</si>
  <si>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</si>
  <si>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</si>
  <si>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</si>
  <si>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</si>
  <si>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</si>
  <si>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</si>
  <si>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</si>
  <si>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</si>
  <si>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</si>
  <si>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</si>
  <si>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</si>
  <si>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</si>
  <si>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</si>
  <si>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</si>
  <si>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</si>
  <si>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</si>
  <si>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</si>
  <si>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</si>
  <si>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</si>
  <si>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</si>
  <si>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</si>
  <si>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</si>
  <si>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</si>
  <si>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</si>
  <si>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</si>
  <si>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</si>
  <si>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</si>
  <si>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</si>
  <si>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</si>
  <si>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</si>
  <si>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</si>
  <si>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</si>
  <si>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</si>
  <si>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</si>
  <si>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</si>
  <si>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</si>
  <si>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</si>
  <si>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</si>
  <si>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</si>
  <si>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</si>
  <si>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</si>
  <si>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</si>
  <si>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</si>
  <si>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</si>
  <si>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</si>
  <si>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</si>
  <si>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</si>
  <si>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</si>
  <si>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</si>
  <si>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</si>
  <si>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</si>
  <si>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</si>
  <si>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</si>
  <si>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</si>
  <si>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</si>
  <si>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</si>
  <si>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</si>
  <si>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</si>
  <si>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</si>
  <si>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</si>
  <si>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</si>
  <si>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</si>
  <si>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</si>
  <si>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</si>
  <si>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</si>
  <si>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</si>
  <si>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</si>
  <si>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</si>
  <si>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</si>
  <si>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</si>
  <si>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</si>
  <si>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</si>
  <si>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</si>
  <si>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</si>
  <si>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</si>
  <si>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</si>
  <si>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</si>
  <si>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</si>
  <si>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</si>
  <si>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</si>
  <si>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</si>
  <si>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</si>
  <si>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</si>
  <si>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</si>
  <si>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</si>
  <si>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</si>
  <si>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</si>
  <si>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</si>
  <si>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</si>
  <si>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</si>
  <si>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</si>
  <si>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</si>
  <si>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</si>
  <si>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</si>
  <si>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</si>
  <si>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</si>
  <si>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</si>
  <si>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</si>
  <si>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</si>
  <si>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</si>
  <si>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</si>
  <si>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</si>
  <si>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</si>
  <si>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</si>
  <si>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</si>
  <si>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</si>
  <si>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</si>
  <si>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</si>
  <si>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</si>
  <si>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</si>
  <si>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</si>
  <si>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</si>
  <si>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</si>
  <si>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</si>
  <si>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</si>
  <si>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</si>
  <si>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</si>
  <si>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</si>
  <si>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</si>
  <si>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</si>
  <si>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</si>
  <si>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</si>
  <si>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</si>
  <si>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</si>
  <si>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</si>
  <si>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</si>
  <si>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</si>
  <si>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</si>
  <si>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</si>
  <si>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</si>
  <si>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</si>
  <si>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</si>
  <si>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</si>
  <si>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</si>
  <si>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</si>
  <si>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</si>
  <si>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</si>
  <si>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</si>
  <si>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</si>
  <si>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</si>
  <si>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</si>
  <si>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</si>
  <si>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</si>
  <si>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</si>
  <si>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</si>
  <si>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</si>
  <si>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</si>
  <si>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</si>
  <si>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</si>
  <si>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</si>
  <si>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</si>
  <si>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</si>
  <si>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</si>
  <si>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</si>
  <si>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</si>
  <si>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</si>
  <si>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</si>
  <si>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</si>
  <si>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</si>
  <si>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</si>
  <si>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</si>
  <si>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</si>
  <si>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</si>
  <si>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</si>
  <si>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</si>
  <si>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</si>
  <si>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</si>
  <si>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</si>
  <si>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</si>
  <si>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</si>
  <si>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</si>
  <si>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</si>
  <si>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</si>
  <si>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</si>
  <si>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</si>
  <si>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</si>
  <si>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</si>
  <si>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</si>
  <si>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</si>
  <si>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</si>
  <si>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</si>
  <si>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</si>
  <si>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</si>
  <si>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</si>
  <si>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</si>
  <si>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</si>
  <si>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</si>
  <si>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</si>
  <si>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</si>
  <si>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</si>
  <si>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</si>
  <si>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</si>
  <si>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</si>
  <si>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</si>
  <si>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</si>
  <si>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</si>
  <si>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</si>
  <si>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</si>
  <si>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</si>
  <si>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</si>
  <si>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</si>
  <si>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</si>
  <si>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</si>
  <si>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</si>
  <si>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</si>
  <si>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</si>
  <si>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</si>
  <si>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</si>
  <si>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</si>
  <si>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</si>
  <si>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</si>
  <si>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</si>
  <si>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</si>
  <si>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</si>
  <si>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</si>
  <si>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</si>
  <si>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</si>
  <si>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</si>
  <si>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</si>
  <si>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</si>
  <si>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</si>
  <si>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</si>
  <si>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</si>
  <si>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</si>
  <si>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</si>
  <si>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</si>
  <si>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</si>
  <si>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</si>
  <si>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</si>
  <si>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</si>
  <si>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</si>
  <si>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</si>
  <si>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</si>
  <si>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</si>
  <si>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</si>
  <si>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</si>
  <si>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</si>
  <si>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</si>
  <si>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</si>
  <si>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</si>
  <si>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</si>
  <si>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</si>
  <si>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</si>
  <si>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</si>
  <si>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</si>
  <si>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</si>
  <si>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</si>
  <si>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</si>
  <si>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</si>
  <si>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</si>
  <si>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</si>
  <si>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</si>
  <si>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</si>
  <si>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</si>
  <si>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</si>
  <si>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</si>
  <si>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</si>
  <si>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</si>
  <si>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</si>
  <si>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</si>
  <si>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</si>
  <si>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</si>
  <si>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</si>
  <si>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</si>
  <si>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</si>
  <si>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</si>
  <si>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</si>
  <si>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</si>
  <si>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</si>
  <si>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</si>
  <si>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</si>
  <si>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</si>
  <si>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</si>
  <si>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</si>
  <si>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</si>
  <si>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</si>
  <si>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</si>
  <si>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</si>
  <si>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</si>
  <si>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</si>
  <si>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</si>
  <si>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</si>
  <si>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</si>
  <si>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</si>
  <si>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</si>
  <si>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</si>
  <si>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</si>
  <si>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</si>
  <si>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</si>
  <si>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</si>
  <si>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</si>
  <si>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</si>
  <si>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</si>
  <si>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</si>
  <si>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</si>
  <si>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</si>
  <si>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</si>
  <si>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</si>
  <si>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</si>
  <si>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</si>
  <si>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</si>
  <si>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</si>
  <si>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</si>
  <si>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</si>
  <si>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</si>
  <si>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</si>
  <si>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</si>
  <si>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</si>
  <si>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</si>
  <si>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</si>
  <si>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</si>
  <si>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</si>
  <si>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</si>
  <si>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</si>
  <si>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</si>
  <si>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</si>
  <si>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</si>
  <si>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</si>
  <si>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</si>
  <si>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</si>
  <si>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</si>
  <si>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</si>
  <si>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</si>
  <si>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</si>
  <si>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</si>
  <si>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</si>
  <si>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</si>
  <si>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</si>
  <si>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</si>
  <si>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</si>
  <si>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</si>
  <si>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</si>
  <si>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</si>
  <si>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</si>
  <si>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</si>
  <si>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</si>
  <si>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</si>
  <si>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</si>
  <si>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</si>
  <si>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</si>
  <si>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</si>
  <si>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</si>
  <si>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</si>
  <si>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</si>
  <si>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</si>
  <si>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</si>
  <si>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</si>
  <si>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</si>
  <si>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</si>
  <si>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</si>
  <si>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</si>
  <si>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</si>
  <si>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</si>
  <si>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</si>
  <si>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</si>
  <si>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</si>
  <si>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</si>
  <si>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</si>
  <si>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</si>
  <si>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</si>
  <si>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</si>
  <si>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</si>
  <si>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</si>
  <si>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</si>
  <si>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</si>
  <si>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</si>
  <si>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</si>
  <si>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</si>
  <si>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</si>
  <si>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</si>
  <si>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</si>
  <si>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</si>
  <si>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</si>
  <si>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</si>
  <si>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</si>
  <si>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</si>
  <si>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</si>
  <si>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</si>
  <si>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</si>
  <si>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</si>
  <si>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</si>
  <si>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</si>
  <si>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</si>
  <si>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</si>
  <si>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</si>
  <si>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</si>
  <si>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</si>
  <si>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</si>
  <si>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</si>
  <si>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</si>
  <si>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</si>
  <si>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</si>
  <si>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</si>
  <si>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</si>
  <si>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</si>
  <si>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</si>
  <si>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</si>
  <si>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</si>
  <si>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</si>
  <si>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</si>
  <si>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</si>
  <si>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</si>
  <si>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</si>
  <si>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</si>
  <si>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</si>
  <si>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</si>
  <si>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</si>
  <si>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</si>
  <si>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</si>
  <si>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</si>
  <si>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</si>
  <si>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</si>
  <si>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</si>
  <si>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</si>
  <si>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</si>
  <si>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</si>
  <si>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</si>
  <si>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</si>
  <si>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</si>
  <si>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</si>
  <si>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</si>
  <si>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</si>
  <si>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</si>
  <si>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</si>
  <si>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</si>
  <si>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</si>
  <si>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</si>
  <si>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</si>
  <si>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</si>
  <si>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</si>
  <si>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</si>
  <si>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</si>
  <si>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</si>
  <si>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</si>
  <si>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</si>
  <si>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</si>
  <si>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</si>
  <si>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</si>
  <si>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</si>
  <si>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</si>
  <si>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</si>
  <si>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</si>
  <si>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</si>
  <si>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</si>
  <si>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</si>
  <si>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</si>
  <si>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</si>
  <si>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</si>
  <si>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</si>
  <si>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</si>
  <si>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</si>
  <si>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</si>
  <si>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</si>
  <si>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</si>
  <si>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</si>
  <si>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</si>
  <si>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</si>
  <si>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</si>
  <si>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</si>
  <si>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</si>
  <si>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</si>
  <si>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</si>
  <si>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</si>
  <si>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</si>
  <si>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</si>
  <si>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</si>
  <si>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</si>
  <si>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</si>
  <si>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</si>
  <si>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</si>
  <si>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</si>
  <si>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</si>
  <si>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</si>
  <si>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</si>
  <si>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</si>
  <si>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</si>
  <si>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</si>
  <si>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</si>
  <si>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</si>
  <si>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</si>
  <si>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</si>
  <si>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</si>
  <si>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</si>
  <si>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</si>
  <si>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</si>
  <si>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</si>
  <si>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</si>
  <si>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</si>
  <si>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</si>
  <si>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</si>
  <si>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</si>
  <si>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</si>
  <si>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</si>
  <si>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</si>
  <si>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</si>
  <si>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</si>
  <si>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</si>
  <si>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</si>
  <si>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</si>
  <si>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</si>
  <si>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</si>
  <si>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</si>
  <si>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</si>
  <si>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</si>
  <si>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</si>
  <si>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</si>
  <si>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</si>
  <si>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</si>
  <si>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</si>
  <si>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</si>
  <si>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</si>
  <si>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</si>
  <si>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</si>
  <si>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</si>
  <si>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</si>
  <si>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</si>
  <si>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</si>
  <si>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</si>
  <si>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</si>
  <si>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</si>
  <si>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</si>
  <si>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</si>
  <si>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</si>
  <si>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</si>
  <si>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</si>
  <si>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</si>
  <si>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</si>
  <si>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</si>
  <si>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</si>
  <si>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</si>
  <si>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</si>
  <si>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</si>
  <si>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</si>
  <si>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</si>
  <si>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</si>
  <si>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</si>
  <si>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</si>
  <si>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</si>
  <si>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</si>
  <si>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</si>
  <si>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</si>
  <si>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</si>
  <si>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</si>
  <si>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</si>
  <si>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</si>
  <si>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</si>
  <si>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</si>
  <si>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</si>
  <si>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</si>
  <si>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</si>
  <si>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</si>
  <si>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</si>
  <si>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</si>
  <si>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</si>
  <si>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</si>
  <si>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</si>
  <si>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</si>
  <si>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</si>
  <si>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</si>
  <si>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</si>
  <si>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</si>
  <si>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</si>
  <si>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</si>
  <si>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</si>
  <si>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</si>
  <si>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</si>
  <si>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</si>
  <si>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</si>
  <si>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</si>
  <si>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</si>
  <si>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</si>
  <si>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</si>
  <si>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</si>
  <si>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</si>
  <si>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</si>
  <si>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</si>
  <si>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</si>
  <si>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</si>
  <si>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</si>
  <si>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</si>
  <si>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</si>
  <si>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</si>
  <si>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</si>
  <si>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</si>
  <si>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</si>
  <si>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</si>
  <si>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</si>
  <si>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</si>
  <si>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</si>
  <si>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</si>
  <si>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</si>
  <si>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</si>
  <si>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</si>
  <si>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</si>
  <si>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</si>
  <si>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</si>
  <si>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</si>
  <si>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</si>
  <si>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</si>
  <si>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</si>
  <si>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</si>
  <si>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</si>
  <si>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</si>
  <si>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</si>
  <si>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</si>
  <si>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</si>
  <si>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</si>
  <si>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</si>
  <si>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</si>
  <si>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</si>
  <si>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</si>
  <si>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</si>
  <si>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</si>
  <si>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</si>
  <si>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</si>
  <si>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</si>
  <si>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</si>
  <si>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</si>
  <si>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</si>
  <si>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</si>
  <si>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</si>
  <si>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</si>
  <si>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</si>
  <si>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</si>
  <si>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</si>
  <si>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</si>
  <si>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</si>
  <si>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</si>
  <si>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</si>
  <si>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</si>
  <si>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</si>
  <si>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</si>
  <si>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</si>
  <si>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</si>
  <si>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</si>
  <si>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</si>
  <si>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</si>
  <si>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</si>
  <si>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</si>
  <si>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</si>
  <si>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</si>
  <si>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</si>
  <si>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</si>
  <si>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</si>
  <si>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</si>
  <si>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</si>
  <si>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</si>
  <si>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</si>
  <si>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</si>
  <si>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</si>
  <si>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</si>
  <si>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</si>
  <si>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</si>
  <si>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</si>
  <si>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</si>
  <si>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</si>
  <si>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</si>
  <si>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</si>
  <si>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</si>
  <si>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</si>
  <si>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</si>
  <si>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</si>
  <si>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</si>
  <si>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</si>
  <si>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</si>
  <si>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</si>
  <si>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</si>
  <si>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</si>
  <si>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</si>
  <si>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</si>
  <si>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</si>
  <si>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</si>
  <si>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</si>
  <si>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</si>
  <si>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</si>
  <si>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</si>
  <si>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</si>
  <si>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</si>
  <si>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</si>
  <si>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</si>
  <si>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</si>
  <si>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</si>
  <si>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</si>
  <si>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</si>
  <si>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</si>
  <si>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</si>
  <si>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</si>
  <si>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</si>
  <si>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</si>
  <si>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</si>
  <si>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</si>
  <si>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</si>
  <si>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</si>
  <si>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</si>
  <si>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</si>
  <si>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</si>
  <si>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</si>
  <si>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</si>
  <si>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</si>
  <si>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</si>
  <si>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</si>
  <si>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</si>
  <si>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</si>
  <si>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</si>
  <si>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</si>
  <si>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</si>
  <si>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</si>
  <si>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</si>
  <si>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</si>
  <si>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</si>
  <si>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</si>
  <si>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</si>
  <si>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</si>
  <si>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</si>
  <si>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</si>
  <si>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</si>
  <si>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</si>
  <si>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</si>
  <si>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</si>
  <si>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</si>
  <si>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</si>
  <si>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</si>
  <si>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</si>
  <si>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</si>
  <si>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</si>
  <si>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</si>
  <si>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</si>
  <si>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</si>
  <si>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</si>
  <si>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</si>
  <si>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</si>
  <si>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</si>
  <si>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</si>
  <si>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</si>
  <si>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</si>
  <si>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</si>
  <si>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</si>
  <si>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</si>
  <si>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</si>
  <si>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</si>
  <si>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</si>
  <si>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</si>
  <si>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</si>
  <si>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</si>
  <si>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</si>
  <si>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</si>
  <si>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</si>
  <si>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</si>
  <si>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</si>
  <si>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</si>
  <si>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</si>
  <si>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</si>
  <si>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</si>
  <si>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</si>
  <si>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</si>
  <si>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</si>
  <si>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</si>
  <si>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</si>
  <si>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</si>
  <si>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</si>
  <si>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</si>
  <si>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</si>
  <si>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</si>
  <si>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</si>
  <si>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</si>
  <si>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</si>
  <si>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</si>
  <si>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</si>
  <si>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</si>
  <si>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</si>
  <si>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</si>
  <si>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</si>
  <si>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</si>
  <si>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</si>
  <si>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</si>
  <si>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</si>
  <si>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</si>
  <si>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</si>
  <si>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</si>
  <si>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</si>
  <si>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</si>
  <si>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</si>
  <si>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</si>
  <si>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</si>
  <si>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</si>
  <si>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</si>
  <si>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</si>
  <si>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</si>
  <si>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</si>
  <si>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</si>
  <si>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</si>
  <si>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</si>
  <si>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</si>
  <si>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</si>
  <si>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</si>
  <si>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</si>
  <si>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</si>
  <si>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</si>
  <si>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</si>
  <si>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</si>
  <si>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</si>
  <si>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</si>
  <si>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</si>
  <si>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</si>
  <si>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</si>
  <si>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</si>
  <si>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</si>
  <si>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</si>
  <si>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</si>
  <si>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</si>
  <si>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</si>
  <si>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</si>
  <si>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</si>
  <si>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</si>
  <si>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</si>
  <si>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</si>
  <si>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</si>
  <si>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</si>
  <si>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</si>
  <si>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</si>
  <si>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</si>
  <si>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</si>
  <si>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</si>
  <si>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</si>
  <si>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</si>
  <si>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</si>
  <si>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</si>
  <si>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</si>
  <si>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</si>
  <si>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</si>
  <si>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</si>
  <si>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</si>
  <si>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</si>
  <si>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</si>
  <si>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</si>
  <si>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</si>
  <si>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</si>
  <si>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</si>
  <si>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</si>
  <si>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</si>
  <si>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</si>
  <si>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</si>
  <si>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</si>
  <si>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</si>
  <si>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</si>
  <si>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</si>
  <si>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</si>
  <si>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</si>
  <si>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</si>
  <si>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</si>
  <si>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</si>
  <si>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</si>
  <si>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</si>
  <si>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</si>
  <si>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</si>
  <si>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</si>
  <si>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</si>
  <si>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</si>
  <si>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</si>
  <si>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</si>
  <si>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</si>
  <si>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</si>
  <si>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</si>
  <si>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</si>
  <si>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</si>
  <si>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</si>
  <si>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</si>
  <si>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</si>
  <si>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</si>
  <si>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</si>
  <si>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</si>
  <si>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</si>
  <si>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</si>
  <si>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</si>
  <si>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</si>
  <si>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</si>
  <si>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</si>
  <si>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</si>
  <si>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</si>
  <si>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</si>
  <si>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</si>
  <si>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</si>
  <si>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</si>
  <si>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</si>
  <si>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</si>
  <si>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</si>
  <si>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</si>
  <si>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</si>
  <si>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</si>
  <si>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</si>
  <si>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</si>
  <si>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</si>
  <si>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</si>
  <si>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</si>
  <si>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</si>
  <si>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</si>
  <si>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</si>
  <si>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</si>
  <si>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</si>
  <si>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</si>
  <si>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</si>
  <si>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</si>
  <si>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</si>
  <si>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</si>
  <si>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</si>
  <si>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</si>
  <si>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</si>
  <si>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</si>
  <si>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</si>
  <si>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</si>
  <si>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</si>
  <si>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</si>
  <si>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</si>
  <si>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</si>
  <si>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</si>
  <si>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</si>
  <si>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</si>
  <si>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</si>
  <si>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</si>
  <si>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</si>
  <si>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</si>
  <si>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</si>
  <si>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</si>
  <si>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</si>
  <si>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</si>
  <si>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</si>
  <si>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</si>
  <si>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</si>
  <si>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</si>
  <si>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</si>
  <si>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</si>
  <si>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</si>
  <si>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</si>
  <si>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</si>
  <si>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</si>
  <si>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</si>
  <si>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</si>
  <si>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</si>
  <si>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</si>
  <si>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</si>
  <si>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</si>
  <si>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</si>
  <si>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</si>
  <si>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</si>
  <si>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</si>
  <si>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</si>
  <si>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</si>
  <si>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</si>
  <si>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</si>
  <si>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</si>
  <si>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</si>
  <si>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</si>
  <si>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</si>
  <si>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</si>
  <si>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</si>
  <si>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</si>
  <si>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</si>
  <si>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</si>
  <si>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</si>
  <si>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</si>
  <si>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</si>
  <si>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</si>
  <si>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</si>
  <si>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</si>
  <si>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</si>
  <si>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</si>
  <si>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</si>
  <si>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</si>
  <si>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</si>
  <si>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</si>
  <si>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</si>
  <si>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</si>
  <si>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</si>
  <si>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</si>
  <si>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</si>
  <si>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</si>
  <si>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</si>
  <si>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</si>
  <si>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</si>
  <si>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</si>
  <si>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</si>
  <si>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</si>
  <si>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</si>
  <si>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</si>
  <si>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</si>
  <si>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</si>
  <si>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</si>
  <si>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</si>
  <si>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</si>
  <si>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</si>
  <si>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</si>
  <si>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</si>
  <si>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</si>
  <si>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</si>
  <si>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</si>
  <si>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</si>
  <si>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</si>
  <si>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</si>
  <si>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</si>
  <si>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</si>
  <si>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</si>
  <si>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</si>
  <si>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</si>
  <si>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</si>
  <si>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</si>
  <si>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</si>
  <si>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</si>
  <si>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</si>
  <si>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</si>
  <si>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</si>
  <si>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</si>
  <si>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</si>
  <si>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</si>
  <si>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</si>
  <si>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</si>
  <si>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</si>
  <si>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</si>
  <si>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</si>
  <si>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</si>
  <si>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</si>
  <si>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</si>
  <si>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</si>
  <si>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</si>
  <si>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</si>
  <si>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</si>
  <si>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</si>
  <si>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</si>
  <si>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</si>
  <si>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</si>
  <si>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</si>
  <si>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</si>
  <si>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</si>
  <si>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</si>
  <si>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</si>
  <si>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</si>
  <si>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</si>
  <si>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</si>
  <si>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</si>
  <si>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</si>
  <si>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</si>
  <si>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</si>
  <si>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</si>
  <si>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</si>
  <si>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</si>
  <si>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</si>
  <si>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</si>
  <si>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</si>
  <si>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</si>
  <si>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</si>
  <si>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</si>
  <si>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</si>
  <si>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</si>
  <si>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</si>
  <si>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</si>
  <si>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</si>
  <si>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</si>
  <si>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</si>
  <si>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</si>
  <si>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</si>
  <si>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</si>
  <si>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</si>
  <si>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</si>
  <si>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</si>
  <si>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</si>
  <si>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</si>
  <si>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</si>
  <si>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</si>
  <si>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</si>
  <si>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</si>
  <si>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</si>
  <si>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</si>
  <si>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</si>
  <si>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</si>
  <si>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</si>
  <si>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</si>
  <si>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</si>
  <si>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</si>
  <si>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</si>
  <si>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</si>
  <si>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</si>
  <si>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</si>
  <si>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</si>
  <si>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</si>
  <si>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</si>
  <si>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</si>
  <si>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</si>
  <si>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</si>
  <si>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</si>
  <si>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</si>
  <si>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</si>
  <si>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</si>
  <si>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</si>
  <si>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</si>
  <si>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</si>
  <si>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</si>
  <si>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</si>
  <si>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</si>
  <si>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</si>
  <si>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</si>
  <si>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</si>
  <si>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</si>
  <si>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</si>
  <si>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</si>
  <si>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</si>
  <si>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</si>
  <si>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</si>
  <si>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</si>
  <si>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</si>
  <si>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</si>
  <si>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</si>
  <si>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</si>
  <si>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</si>
  <si>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</si>
  <si>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</si>
  <si>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</si>
  <si>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</si>
  <si>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</si>
  <si>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</si>
  <si>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</si>
  <si>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</si>
  <si>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</si>
  <si>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</si>
  <si>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</si>
  <si>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</si>
  <si>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</si>
  <si>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</si>
  <si>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</si>
  <si>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</si>
  <si>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</si>
  <si>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</si>
  <si>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</si>
  <si>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</si>
  <si>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</si>
  <si>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</si>
  <si>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</si>
  <si>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</si>
  <si>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</si>
  <si>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</si>
  <si>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</si>
  <si>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</si>
  <si>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</si>
  <si>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</si>
  <si>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</si>
  <si>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</si>
  <si>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</si>
  <si>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</si>
  <si>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</si>
  <si>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</si>
  <si>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</si>
  <si>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</si>
  <si>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</si>
  <si>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</si>
  <si>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</si>
  <si>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</si>
  <si>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</si>
  <si>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</si>
  <si>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</si>
  <si>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</si>
  <si>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</si>
  <si>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</si>
  <si>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</si>
  <si>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</si>
  <si>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</si>
  <si>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</si>
  <si>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</si>
  <si>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</si>
  <si>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</si>
  <si>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</si>
  <si>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</si>
  <si>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</si>
  <si>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</si>
  <si>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</si>
  <si>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</si>
  <si>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</si>
  <si>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</si>
  <si>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</si>
  <si>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</si>
  <si>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</si>
  <si>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</si>
  <si>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</si>
  <si>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</si>
  <si>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</si>
  <si>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</si>
  <si>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</si>
  <si>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</si>
  <si>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</si>
  <si>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</si>
  <si>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</si>
  <si>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</si>
  <si>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</si>
  <si>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</si>
  <si>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</si>
  <si>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</si>
  <si>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</si>
  <si>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</si>
  <si>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</si>
  <si>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</si>
  <si>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</si>
  <si>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</si>
  <si>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</si>
  <si>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</si>
  <si>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</si>
  <si>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</si>
  <si>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</si>
  <si>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</si>
  <si>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</si>
  <si>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</si>
  <si>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</si>
  <si>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</si>
  <si>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</si>
  <si>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</si>
  <si>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</si>
  <si>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</si>
  <si>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</si>
  <si>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</si>
  <si>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</si>
  <si>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</si>
  <si>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</si>
  <si>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</si>
  <si>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</si>
  <si>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</si>
  <si>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</si>
  <si>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</si>
  <si>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</si>
  <si>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</si>
  <si>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</si>
  <si>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</si>
  <si>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</si>
  <si>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</si>
  <si>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</si>
  <si>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</si>
  <si>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</si>
  <si>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</si>
  <si>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</si>
  <si>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</si>
  <si>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</si>
  <si>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</si>
  <si>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</si>
  <si>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</si>
  <si>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</si>
  <si>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</si>
  <si>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</si>
  <si>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</si>
  <si>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</si>
  <si>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</si>
  <si>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</si>
  <si>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</si>
  <si>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</si>
  <si>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</si>
  <si>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</si>
  <si>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</si>
  <si>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</si>
  <si>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</si>
  <si>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</si>
  <si>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</si>
  <si>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</si>
  <si>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</si>
  <si>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</si>
  <si>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</si>
  <si>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</si>
  <si>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</si>
  <si>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</si>
  <si>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</si>
  <si>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</si>
  <si>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</si>
  <si>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</si>
  <si>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</si>
  <si>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</si>
  <si>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</si>
  <si>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</si>
  <si>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</si>
  <si>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</si>
  <si>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</si>
  <si>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</si>
  <si>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</si>
  <si>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</si>
  <si>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</si>
  <si>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</si>
  <si>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</si>
  <si>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</si>
  <si>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</si>
  <si>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</si>
  <si>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</si>
  <si>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</si>
  <si>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</si>
  <si>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</si>
  <si>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</si>
  <si>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</si>
  <si>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</si>
  <si>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</si>
  <si>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</si>
  <si>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</si>
  <si>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</si>
  <si>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</si>
  <si>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</si>
  <si>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</si>
  <si>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</si>
  <si>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</si>
  <si>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</si>
  <si>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</si>
  <si>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</si>
  <si>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</si>
  <si>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</si>
  <si>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</si>
  <si>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</si>
  <si>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</si>
  <si>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</si>
  <si>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</si>
  <si>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</si>
  <si>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</si>
  <si>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</si>
  <si>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</si>
  <si>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</si>
  <si>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</si>
  <si>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</si>
  <si>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</si>
  <si>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</si>
  <si>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</si>
  <si>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</si>
  <si>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</si>
  <si>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</si>
  <si>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</si>
  <si>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</si>
  <si>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</si>
  <si>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</si>
  <si>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</si>
  <si>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</si>
  <si>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</si>
  <si>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</si>
  <si>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</si>
  <si>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</si>
  <si>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</si>
  <si>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</si>
  <si>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</si>
  <si>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</si>
  <si>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</si>
  <si>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</si>
  <si>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</si>
  <si>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</si>
  <si>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</si>
  <si>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</si>
  <si>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</si>
  <si>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</si>
  <si>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</si>
  <si>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</si>
  <si>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</si>
  <si>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</si>
  <si>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</si>
  <si>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</si>
  <si>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</si>
  <si>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</si>
  <si>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</si>
  <si>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</si>
  <si>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</si>
  <si>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</si>
  <si>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</si>
  <si>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</si>
  <si>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</si>
  <si>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</si>
  <si>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</si>
  <si>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</si>
  <si>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</si>
  <si>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</si>
  <si>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</si>
  <si>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</si>
  <si>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</si>
  <si>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</si>
  <si>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</si>
  <si>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</si>
  <si>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</si>
  <si>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</si>
  <si>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</si>
  <si>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</si>
  <si>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</si>
  <si>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</si>
  <si>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</si>
  <si>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</si>
  <si>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</si>
  <si>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</si>
  <si>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</si>
  <si>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</si>
  <si>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</si>
  <si>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</si>
  <si>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</si>
  <si>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</si>
  <si>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</si>
  <si>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</si>
  <si>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</si>
  <si>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</si>
  <si>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</si>
  <si>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</si>
  <si>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</si>
  <si>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</si>
  <si>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</si>
  <si>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</si>
  <si>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</si>
  <si>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</si>
  <si>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</si>
  <si>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</si>
  <si>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</si>
  <si>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</si>
  <si>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</si>
  <si>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</si>
  <si>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</si>
  <si>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</si>
  <si>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</si>
  <si>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</si>
  <si>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</si>
  <si>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</si>
  <si>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</si>
  <si>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</si>
  <si>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</si>
  <si>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</si>
  <si>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</si>
  <si>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</si>
  <si>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</si>
  <si>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</si>
  <si>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</si>
  <si>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</si>
  <si>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</si>
  <si>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</si>
  <si>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</si>
  <si>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</si>
  <si>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</si>
  <si>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</si>
  <si>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</si>
  <si>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</si>
  <si>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</si>
  <si>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</si>
  <si>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</si>
  <si>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</si>
  <si>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</si>
  <si>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</si>
  <si>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</si>
  <si>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</si>
  <si>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</si>
  <si>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</si>
  <si>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</si>
  <si>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</si>
  <si>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</si>
  <si>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</si>
  <si>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</si>
  <si>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</si>
  <si>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</si>
  <si>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</si>
  <si>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</si>
  <si>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</si>
  <si>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</si>
  <si>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</si>
  <si>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</si>
  <si>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</si>
  <si>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</si>
  <si>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</si>
  <si>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</si>
  <si>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</si>
  <si>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</si>
  <si>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</si>
  <si>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</si>
  <si>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</si>
  <si>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</si>
  <si>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</si>
  <si>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</si>
  <si>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</si>
  <si>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</si>
  <si>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</si>
  <si>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</si>
  <si>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</si>
  <si>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</si>
  <si>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</si>
  <si>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</si>
  <si>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</si>
  <si>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</si>
  <si>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</si>
  <si>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</si>
  <si>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</si>
  <si>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</si>
  <si>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</si>
  <si>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</si>
  <si>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</si>
  <si>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</si>
  <si>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</si>
  <si>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</si>
  <si>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</si>
  <si>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</si>
  <si>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</si>
  <si>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</si>
  <si>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</si>
  <si>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</si>
  <si>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</si>
  <si>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</si>
  <si>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</si>
  <si>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</si>
  <si>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</si>
  <si>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</si>
  <si>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</si>
  <si>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</si>
  <si>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</si>
  <si>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</si>
  <si>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</si>
  <si>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</si>
  <si>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</si>
  <si>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</si>
  <si>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</si>
  <si>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</si>
  <si>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</si>
  <si>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</si>
  <si>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</si>
  <si>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</si>
  <si>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</si>
  <si>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</si>
  <si>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</si>
  <si>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</si>
  <si>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</si>
  <si>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</si>
  <si>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</si>
  <si>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</si>
  <si>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</si>
  <si>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</si>
  <si>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</si>
  <si>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</si>
  <si>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</si>
  <si>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</si>
  <si>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</si>
  <si>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</si>
  <si>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</si>
  <si>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</si>
  <si>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</si>
  <si>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</si>
  <si>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</si>
  <si>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</si>
  <si>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</si>
  <si>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</si>
  <si>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</si>
  <si>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</si>
  <si>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</si>
  <si>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</si>
  <si>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</si>
  <si>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</si>
  <si>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</si>
  <si>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</si>
  <si>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</si>
  <si>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</si>
  <si>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</si>
  <si>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</si>
  <si>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</si>
  <si>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</si>
  <si>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</si>
  <si>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</si>
  <si>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</si>
  <si>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</si>
  <si>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</si>
  <si>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</si>
  <si>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</si>
  <si>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</si>
  <si>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</si>
  <si>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</si>
  <si>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</si>
  <si>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</si>
  <si>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</si>
  <si>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</si>
  <si>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</si>
  <si>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</si>
  <si>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</si>
  <si>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</si>
  <si>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</si>
  <si>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</si>
  <si>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</si>
  <si>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</si>
  <si>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</si>
  <si>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</si>
  <si>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</si>
  <si>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</si>
  <si>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</si>
  <si>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</si>
  <si>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</si>
  <si>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</si>
  <si>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</si>
  <si>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</si>
  <si>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</si>
  <si>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</si>
  <si>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</si>
  <si>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</si>
  <si>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</si>
  <si>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</si>
  <si>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</si>
  <si>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</si>
  <si>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</si>
  <si>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</si>
  <si>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</si>
  <si>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</si>
  <si>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</si>
  <si>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</si>
  <si>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</si>
  <si>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</si>
  <si>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</si>
  <si>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</si>
  <si>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</si>
  <si>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</si>
  <si>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</si>
  <si>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</si>
  <si>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</si>
  <si>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</si>
  <si>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</si>
  <si>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</si>
  <si>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</si>
  <si>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</si>
  <si>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</si>
  <si>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</si>
  <si>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</si>
  <si>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</si>
  <si>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</si>
  <si>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</si>
  <si>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</si>
  <si>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</si>
  <si>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</si>
  <si>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</si>
  <si>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</si>
  <si>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</si>
  <si>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</si>
  <si>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</si>
  <si>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</si>
  <si>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</si>
  <si>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</si>
  <si>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</si>
  <si>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</si>
  <si>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</si>
  <si>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</si>
  <si>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</si>
  <si>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</si>
  <si>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</si>
  <si>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</si>
  <si>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</si>
  <si>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</si>
  <si>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</si>
  <si>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</si>
  <si>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</si>
  <si>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</si>
  <si>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</si>
  <si>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</si>
  <si>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</si>
  <si>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</si>
  <si>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</si>
  <si>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</si>
  <si>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</si>
  <si>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</si>
  <si>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</si>
  <si>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</si>
  <si>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</si>
  <si>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</si>
  <si>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</si>
  <si>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</si>
  <si>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</si>
  <si>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</si>
  <si>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</si>
  <si>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</si>
  <si>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</si>
  <si>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</si>
  <si>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</si>
  <si>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</si>
  <si>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</si>
  <si>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</si>
  <si>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</si>
  <si>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</si>
  <si>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</si>
  <si>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</si>
  <si>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</si>
  <si>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</si>
  <si>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</si>
  <si>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</si>
  <si>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</si>
  <si>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</si>
  <si>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</si>
  <si>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</si>
  <si>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</si>
  <si>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</si>
  <si>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</si>
  <si>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</si>
  <si>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</si>
  <si>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</si>
  <si>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</si>
  <si>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</si>
  <si>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</si>
  <si>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</si>
  <si>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</si>
  <si>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</si>
  <si>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</si>
  <si>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</si>
  <si>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</si>
  <si>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</si>
  <si>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</si>
  <si>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</si>
  <si>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</si>
  <si>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</si>
  <si>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</si>
  <si>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</si>
  <si>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</si>
  <si>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</si>
  <si>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</si>
  <si>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</si>
  <si>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</si>
  <si>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</si>
  <si>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</si>
  <si>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</si>
  <si>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</si>
  <si>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</si>
  <si>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</si>
  <si>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</si>
  <si>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</si>
  <si>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</si>
  <si>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</si>
  <si>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</si>
  <si>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</si>
  <si>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</si>
  <si>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</si>
  <si>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</si>
  <si>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</si>
  <si>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</si>
  <si>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</si>
  <si>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</si>
  <si>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</si>
  <si>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</si>
  <si>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</si>
  <si>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</si>
  <si>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</si>
  <si>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</si>
  <si>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</si>
  <si>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</si>
  <si>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</si>
  <si>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</si>
  <si>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</si>
  <si>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</si>
  <si>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</si>
  <si>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</si>
  <si>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</si>
  <si>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</si>
  <si>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</si>
  <si>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</si>
  <si>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</si>
  <si>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</si>
  <si>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</si>
  <si>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</si>
  <si>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</si>
  <si>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</si>
  <si>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</si>
  <si>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</si>
  <si>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</si>
  <si>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</si>
  <si>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</si>
  <si>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</si>
  <si>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</si>
  <si>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</si>
  <si>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</si>
  <si>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</si>
  <si>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</si>
  <si>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</si>
  <si>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</si>
  <si>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</si>
  <si>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</si>
  <si>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</si>
  <si>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</si>
  <si>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</si>
  <si>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</si>
  <si>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</si>
  <si>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</si>
  <si>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</si>
  <si>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</si>
  <si>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</si>
  <si>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</si>
  <si>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</si>
  <si>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</si>
  <si>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</si>
  <si>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</si>
  <si>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</si>
  <si>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</si>
  <si>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</si>
  <si>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</si>
  <si>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</si>
  <si>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</si>
  <si>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</si>
  <si>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</si>
  <si>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</si>
  <si>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</si>
  <si>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</si>
  <si>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</si>
  <si>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</si>
  <si>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</si>
  <si>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</si>
  <si>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</si>
  <si>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</si>
  <si>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</si>
  <si>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</si>
  <si>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</si>
  <si>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</si>
  <si>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</si>
  <si>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</si>
  <si>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</si>
  <si>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</si>
  <si>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</si>
  <si>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</si>
  <si>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</si>
  <si>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</si>
  <si>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</si>
  <si>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</si>
  <si>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</si>
  <si>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</si>
  <si>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</si>
  <si>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</si>
  <si>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</si>
  <si>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</si>
  <si>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</si>
  <si>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</si>
  <si>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</si>
  <si>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</si>
  <si>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</si>
  <si>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</si>
  <si>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</si>
  <si>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</si>
  <si>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</si>
  <si>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</si>
  <si>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</si>
  <si>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</si>
  <si>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</si>
  <si>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</si>
  <si>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</si>
  <si>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</si>
  <si>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</si>
  <si>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</si>
  <si>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</si>
  <si>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</si>
  <si>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</si>
  <si>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</si>
  <si>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</si>
  <si>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</si>
  <si>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</si>
  <si>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</si>
  <si>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</si>
  <si>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</si>
  <si>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</si>
  <si>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</si>
  <si>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</si>
  <si>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</si>
  <si>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</si>
  <si>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</si>
  <si>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</si>
  <si>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</si>
  <si>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</si>
  <si>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</si>
  <si>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</si>
  <si>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</si>
  <si>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</si>
  <si>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</si>
  <si>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</si>
  <si>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</si>
  <si>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</si>
  <si>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</si>
  <si>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</si>
  <si>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</si>
  <si>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</si>
  <si>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</si>
  <si>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</si>
  <si>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</si>
  <si>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</si>
  <si>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</si>
  <si>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</si>
  <si>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</si>
  <si>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</si>
  <si>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</si>
  <si>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</si>
  <si>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</si>
  <si>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</si>
  <si>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</si>
  <si>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</si>
  <si>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</si>
  <si>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</si>
  <si>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</si>
  <si>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</si>
  <si>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</si>
  <si>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</si>
  <si>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</si>
  <si>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</si>
  <si>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</si>
  <si>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</si>
  <si>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</si>
  <si>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</si>
  <si>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</si>
  <si>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</si>
  <si>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</si>
  <si>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</si>
  <si>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</si>
  <si>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</si>
  <si>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</si>
  <si>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</si>
  <si>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</si>
  <si>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</si>
  <si>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</si>
  <si>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</si>
  <si>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</si>
  <si>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</si>
  <si>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</si>
  <si>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</si>
  <si>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</si>
  <si>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</si>
  <si>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</si>
  <si>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</si>
  <si>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</si>
  <si>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</si>
  <si>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</si>
  <si>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</si>
  <si>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</si>
  <si>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</si>
  <si>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</si>
  <si>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</si>
  <si>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</si>
  <si>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</si>
  <si>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</si>
  <si>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</si>
  <si>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</si>
  <si>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</si>
  <si>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</si>
  <si>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</si>
  <si>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</si>
  <si>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</si>
  <si>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</si>
  <si>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</si>
  <si>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</si>
  <si>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</si>
  <si>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</si>
  <si>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</si>
  <si>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</si>
  <si>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</si>
  <si>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</si>
  <si>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</si>
  <si>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</si>
  <si>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</si>
  <si>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</si>
  <si>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</si>
  <si>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</si>
  <si>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</si>
  <si>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</si>
  <si>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</si>
  <si>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</si>
  <si>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</si>
  <si>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</si>
  <si>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</si>
  <si>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</si>
  <si>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</si>
  <si>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</si>
  <si>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</si>
  <si>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</si>
  <si>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</si>
  <si>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</si>
  <si>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</si>
  <si>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</si>
  <si>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</si>
  <si>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</si>
  <si>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</si>
  <si>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</si>
  <si>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</si>
  <si>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</si>
  <si>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</si>
  <si>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</si>
  <si>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</si>
  <si>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</si>
  <si>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</si>
  <si>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</si>
  <si>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</si>
  <si>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</si>
  <si>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</si>
  <si>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</si>
  <si>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</si>
  <si>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</si>
  <si>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</si>
  <si>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</si>
  <si>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</si>
  <si>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</si>
  <si>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</si>
  <si>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</si>
  <si>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</si>
  <si>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</si>
  <si>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</si>
  <si>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</si>
  <si>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</si>
  <si>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</si>
  <si>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</si>
  <si>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</si>
  <si>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</si>
  <si>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</si>
  <si>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</si>
  <si>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</si>
  <si>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</si>
  <si>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</si>
  <si>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</si>
  <si>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</si>
  <si>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</si>
  <si>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</si>
  <si>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</si>
  <si>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</si>
  <si>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</si>
  <si>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</si>
  <si>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</si>
  <si>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</si>
  <si>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</si>
  <si>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</si>
  <si>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</si>
  <si>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</si>
  <si>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</si>
  <si>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</si>
  <si>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</si>
  <si>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</si>
  <si>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</si>
  <si>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</si>
  <si>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</si>
  <si>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</si>
  <si>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</si>
  <si>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</si>
  <si>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</si>
  <si>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</si>
  <si>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</si>
  <si>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</si>
  <si>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</si>
  <si>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</si>
  <si>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</si>
  <si>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</si>
  <si>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</si>
  <si>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</si>
  <si>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</si>
  <si>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</si>
  <si>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</si>
  <si>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</si>
  <si>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</si>
  <si>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</si>
  <si>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</si>
  <si>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</si>
  <si>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</si>
  <si>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</si>
  <si>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</si>
  <si>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</si>
  <si>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</si>
  <si>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</si>
  <si>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</si>
  <si>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</si>
  <si>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</si>
  <si>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</si>
  <si>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</si>
  <si>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</si>
  <si>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</si>
  <si>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</si>
  <si>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</si>
  <si>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</si>
  <si>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</si>
  <si>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</si>
  <si>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</si>
  <si>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</si>
  <si>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</si>
  <si>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</si>
  <si>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</si>
  <si>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</si>
  <si>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</si>
  <si>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</si>
  <si>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</si>
  <si>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</si>
  <si>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</si>
  <si>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</si>
  <si>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</si>
  <si>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</si>
  <si>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</si>
  <si>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</si>
  <si>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</si>
  <si>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</si>
  <si>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</si>
  <si>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</si>
  <si>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</si>
  <si>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</si>
  <si>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</si>
  <si>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</si>
  <si>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</si>
  <si>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</si>
  <si>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</si>
  <si>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</si>
  <si>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</si>
  <si>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</si>
  <si>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</si>
  <si>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</si>
  <si>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</si>
  <si>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</si>
  <si>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</si>
  <si>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</si>
  <si>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</si>
  <si>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</si>
  <si>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</si>
  <si>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</si>
  <si>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</si>
  <si>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</si>
  <si>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</si>
  <si>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</si>
  <si>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</si>
  <si>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</si>
  <si>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</si>
  <si>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</si>
  <si>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</si>
  <si>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</si>
  <si>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</si>
  <si>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</si>
  <si>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</si>
  <si>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</si>
  <si>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</si>
  <si>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</si>
  <si>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</si>
  <si>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</si>
  <si>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</si>
  <si>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</si>
  <si>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</si>
  <si>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</si>
  <si>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</si>
  <si>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</si>
  <si>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</si>
  <si>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</si>
  <si>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</si>
  <si>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</si>
  <si>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</si>
  <si>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</si>
  <si>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</si>
  <si>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</si>
  <si>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</si>
  <si>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</si>
  <si>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</si>
  <si>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</si>
  <si>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</si>
  <si>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</si>
  <si>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</si>
  <si>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</si>
  <si>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</si>
  <si>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</si>
  <si>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</si>
  <si>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</si>
  <si>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</si>
  <si>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</si>
  <si>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</si>
  <si>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</si>
  <si>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</si>
  <si>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</si>
  <si>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</si>
  <si>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</si>
  <si>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</si>
  <si>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</si>
  <si>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</si>
  <si>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</si>
  <si>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</si>
  <si>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</si>
  <si>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</si>
  <si>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</si>
  <si>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</si>
  <si>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</si>
  <si>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</si>
  <si>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</si>
  <si>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</si>
  <si>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</si>
  <si>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</si>
  <si>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</si>
  <si>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</si>
  <si>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</si>
  <si>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</si>
  <si>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</si>
  <si>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</si>
  <si>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</si>
  <si>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</si>
  <si>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</si>
  <si>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</si>
  <si>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</si>
  <si>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</si>
  <si>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</si>
  <si>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</si>
  <si>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</si>
  <si>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</si>
  <si>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</si>
  <si>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</si>
  <si>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</si>
  <si>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</si>
  <si>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</si>
  <si>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</si>
  <si>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</si>
  <si>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</si>
  <si>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</si>
  <si>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</si>
  <si>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</si>
  <si>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</si>
  <si>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</si>
  <si>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</si>
  <si>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</si>
  <si>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</si>
  <si>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</si>
  <si>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</si>
  <si>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</si>
  <si>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</si>
  <si>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</si>
  <si>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</si>
  <si>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</si>
  <si>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</si>
  <si>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</si>
  <si>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</si>
  <si>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</si>
  <si>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</si>
  <si>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</si>
  <si>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</si>
  <si>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</si>
  <si>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</si>
  <si>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</si>
  <si>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</si>
  <si>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</si>
  <si>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</si>
  <si>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</si>
  <si>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</si>
  <si>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</si>
  <si>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</si>
  <si>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</si>
  <si>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</si>
  <si>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</si>
  <si>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</si>
  <si>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</si>
  <si>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</si>
  <si>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</si>
  <si>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</si>
  <si>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</si>
  <si>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</si>
  <si>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</si>
  <si>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</si>
  <si>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</si>
  <si>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</si>
  <si>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</si>
  <si>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</si>
  <si>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</si>
  <si>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</si>
  <si>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</si>
  <si>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</si>
  <si>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</si>
  <si>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</si>
  <si>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</si>
  <si>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</si>
  <si>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</si>
  <si>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</si>
  <si>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</si>
  <si>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</si>
  <si>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</si>
  <si>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</si>
  <si>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</si>
  <si>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</si>
  <si>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</si>
  <si>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</si>
  <si>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</si>
  <si>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</si>
  <si>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</si>
  <si>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</si>
  <si>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</si>
  <si>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</si>
  <si>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</si>
  <si>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</si>
  <si>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</si>
  <si>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</si>
  <si>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</si>
  <si>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</si>
  <si>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</si>
  <si>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</si>
  <si>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</si>
  <si>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</si>
  <si>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</si>
  <si>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</si>
  <si>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</si>
  <si>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</si>
  <si>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</si>
  <si>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</si>
  <si>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</si>
  <si>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</si>
  <si>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</si>
  <si>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</si>
  <si>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</si>
  <si>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</si>
  <si>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</si>
  <si>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</si>
  <si>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</si>
  <si>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</si>
  <si>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</si>
  <si>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</si>
  <si>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</si>
  <si>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</si>
  <si>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</si>
  <si>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</si>
  <si>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</si>
  <si>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</si>
  <si>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</si>
  <si>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</si>
  <si>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</si>
  <si>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</si>
  <si>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</si>
  <si>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</si>
  <si>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</si>
  <si>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</si>
  <si>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</si>
  <si>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</si>
  <si>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</si>
  <si>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</si>
  <si>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</si>
  <si>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</si>
  <si>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</si>
  <si>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</si>
  <si>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</si>
  <si>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</si>
  <si>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</si>
  <si>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</si>
  <si>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</si>
  <si>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</si>
  <si>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</si>
  <si>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</si>
  <si>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</si>
  <si>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</si>
  <si>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</si>
  <si>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</si>
  <si>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</si>
  <si>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</si>
  <si>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</si>
  <si>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</si>
  <si>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</si>
  <si>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</si>
  <si>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</si>
  <si>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</si>
  <si>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</si>
  <si>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</si>
  <si>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</si>
  <si>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</si>
  <si>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</si>
  <si>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</si>
  <si>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</si>
  <si>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</si>
  <si>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</si>
  <si>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</si>
  <si>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</si>
  <si>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</si>
  <si>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</si>
  <si>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</si>
  <si>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</si>
  <si>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</si>
  <si>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</si>
  <si>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</si>
  <si>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</si>
  <si>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</si>
  <si>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</si>
  <si>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</si>
  <si>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</si>
  <si>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</si>
  <si>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</si>
  <si>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</si>
  <si>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</si>
  <si>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</si>
  <si>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</si>
  <si>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</si>
  <si>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</si>
  <si>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</si>
  <si>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</si>
  <si>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</si>
  <si>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</si>
  <si>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</si>
  <si>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</si>
  <si>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</si>
  <si>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</si>
  <si>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</si>
  <si>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</si>
  <si>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</si>
  <si>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</si>
  <si>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</si>
  <si>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</si>
  <si>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</si>
  <si>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</si>
  <si>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</si>
  <si>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</si>
  <si>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</si>
  <si>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</si>
  <si>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</si>
  <si>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</si>
  <si>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</si>
  <si>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</si>
  <si>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</si>
  <si>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</si>
  <si>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</si>
  <si>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</si>
  <si>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</si>
  <si>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</si>
  <si>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</si>
  <si>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</si>
  <si>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</si>
  <si>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</si>
  <si>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</si>
  <si>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</si>
  <si>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</si>
  <si>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</si>
  <si>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</si>
  <si>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</si>
  <si>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</si>
  <si>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</si>
  <si>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</si>
  <si>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</si>
  <si>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</si>
  <si>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</si>
  <si>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</si>
  <si>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</si>
  <si>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</si>
  <si>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</si>
  <si>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</si>
  <si>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</si>
  <si>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</si>
  <si>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</si>
  <si>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</si>
  <si>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</si>
  <si>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</si>
  <si>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</si>
  <si>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</si>
  <si>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</si>
  <si>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</si>
  <si>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</si>
  <si>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</si>
  <si>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</si>
  <si>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</si>
  <si>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</si>
  <si>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</si>
  <si>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</si>
  <si>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</si>
  <si>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</si>
  <si>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</si>
  <si>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</si>
  <si>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</si>
  <si>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</si>
  <si>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</si>
  <si>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</si>
  <si>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</si>
  <si>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</si>
  <si>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</si>
  <si>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</si>
  <si>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</si>
  <si>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</si>
  <si>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</si>
  <si>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</si>
  <si>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</si>
  <si>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</si>
  <si>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</si>
  <si>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</si>
  <si>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</si>
  <si>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</si>
  <si>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</si>
  <si>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</si>
  <si>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</si>
  <si>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</si>
  <si>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</si>
  <si>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</si>
  <si>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</si>
  <si>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</si>
  <si>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</si>
  <si>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</si>
  <si>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</si>
  <si>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</si>
  <si>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</si>
  <si>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</si>
  <si>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</si>
  <si>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</si>
  <si>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</si>
  <si>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</si>
  <si>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</si>
  <si>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</si>
  <si>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</si>
  <si>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</si>
  <si>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</si>
  <si>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</si>
  <si>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</si>
  <si>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</si>
  <si>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</si>
  <si>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</si>
  <si>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</si>
  <si>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</si>
  <si>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</si>
  <si>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</si>
  <si>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</si>
  <si>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</si>
  <si>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</si>
  <si>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</si>
  <si>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</si>
  <si>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</si>
  <si>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</si>
  <si>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</si>
  <si>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</si>
  <si>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</si>
  <si>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</si>
  <si>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</si>
  <si>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</si>
  <si>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</si>
  <si>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</si>
  <si>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</si>
  <si>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</si>
  <si>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</si>
  <si>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</si>
  <si>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</si>
  <si>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</si>
  <si>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</si>
  <si>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</si>
  <si>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</si>
  <si>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</si>
  <si>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</si>
  <si>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</si>
  <si>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</si>
  <si>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</si>
  <si>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</si>
  <si>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</si>
  <si>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</si>
  <si>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</si>
  <si>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</si>
  <si>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</si>
  <si>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</si>
  <si>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</si>
  <si>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</si>
  <si>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</si>
  <si>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</si>
  <si>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</si>
  <si>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</si>
  <si>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</si>
  <si>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</si>
  <si>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</si>
  <si>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</si>
  <si>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</si>
  <si>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</si>
  <si>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</si>
  <si>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</si>
  <si>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</si>
  <si>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</si>
  <si>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</si>
  <si>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</si>
  <si>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</si>
  <si>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</si>
  <si>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</si>
  <si>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</si>
  <si>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</si>
  <si>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</si>
  <si>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</si>
  <si>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</si>
  <si>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</si>
  <si>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</si>
  <si>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</si>
  <si>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</si>
  <si>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</si>
  <si>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</si>
  <si>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</si>
  <si>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</si>
  <si>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</si>
  <si>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</si>
  <si>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</si>
  <si>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</si>
  <si>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</si>
  <si>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</si>
  <si>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</si>
  <si>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</si>
  <si>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</si>
  <si>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</si>
  <si>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</si>
  <si>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</si>
  <si>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</si>
  <si>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</si>
  <si>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</si>
  <si>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</si>
  <si>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</si>
  <si>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</si>
  <si>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</si>
  <si>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</si>
  <si>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</si>
  <si>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</si>
  <si>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</si>
  <si>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</si>
  <si>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</si>
  <si>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</si>
  <si>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</si>
  <si>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</si>
  <si>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</si>
  <si>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</si>
  <si>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</si>
  <si>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</si>
  <si>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</si>
  <si>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</si>
  <si>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</si>
  <si>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</si>
  <si>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</si>
  <si>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</si>
  <si>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</si>
  <si>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</si>
  <si>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</si>
  <si>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</si>
  <si>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</si>
  <si>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</si>
  <si>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</si>
  <si>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</si>
  <si>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</si>
  <si>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</si>
  <si>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</si>
  <si>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</si>
  <si>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</si>
  <si>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</si>
  <si>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</si>
  <si>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</si>
  <si>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</si>
  <si>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</si>
  <si>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</si>
  <si>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</si>
  <si>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</si>
  <si>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</si>
  <si>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</si>
  <si>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</si>
  <si>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</si>
  <si>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</si>
  <si>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</si>
  <si>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</si>
  <si>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</si>
  <si>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</si>
  <si>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</si>
  <si>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</si>
  <si>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</si>
  <si>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</si>
  <si>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</si>
  <si>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</si>
  <si>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</si>
  <si>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</si>
  <si>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</si>
  <si>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</si>
  <si>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</si>
  <si>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</si>
  <si>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</si>
  <si>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</si>
  <si>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</si>
  <si>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</si>
  <si>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</si>
  <si>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</si>
  <si>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</si>
  <si>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</si>
  <si>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</si>
  <si>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</si>
  <si>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</si>
  <si>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</si>
  <si>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</si>
  <si>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</si>
  <si>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</si>
  <si>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</si>
  <si>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</si>
  <si>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</si>
  <si>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</si>
  <si>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</si>
  <si>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</si>
  <si>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</si>
  <si>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</si>
  <si>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</si>
  <si>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</si>
  <si>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</si>
  <si>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</si>
  <si>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</si>
  <si>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</si>
  <si>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</si>
  <si>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</si>
  <si>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</si>
  <si>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</si>
  <si>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</si>
  <si>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</si>
  <si>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</si>
  <si>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</si>
  <si>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</si>
  <si>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</si>
  <si>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</si>
  <si>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</si>
  <si>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</si>
  <si>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</si>
  <si>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</si>
  <si>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</si>
  <si>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</si>
  <si>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</si>
  <si>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</si>
  <si>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</si>
  <si>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</si>
  <si>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</si>
  <si>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</si>
  <si>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</si>
  <si>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</si>
  <si>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</si>
  <si>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</si>
  <si>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</si>
  <si>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</si>
  <si>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</si>
  <si>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</si>
  <si>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</si>
  <si>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</si>
  <si>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</si>
  <si>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</si>
  <si>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</si>
  <si>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</si>
  <si>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</si>
  <si>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</si>
  <si>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</si>
  <si>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</si>
  <si>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</si>
  <si>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</si>
  <si>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</si>
  <si>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</si>
  <si>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</si>
  <si>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</si>
  <si>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</si>
  <si>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</si>
  <si>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</si>
  <si>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</si>
  <si>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</si>
  <si>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</si>
  <si>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</si>
  <si>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</si>
  <si>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</si>
  <si>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</si>
  <si>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</si>
  <si>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</si>
  <si>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</si>
  <si>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</si>
  <si>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</si>
  <si>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</si>
  <si>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</si>
  <si>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</si>
  <si>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</si>
  <si>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</si>
  <si>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</si>
  <si>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</si>
  <si>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</si>
  <si>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</si>
  <si>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</si>
  <si>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</si>
  <si>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</si>
  <si>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</si>
  <si>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</si>
  <si>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</si>
  <si>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</si>
  <si>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</si>
  <si>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</si>
  <si>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</si>
  <si>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</si>
  <si>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</si>
  <si>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</si>
  <si>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</si>
  <si>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</si>
  <si>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</si>
  <si>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</si>
  <si>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</si>
  <si>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</si>
  <si>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</si>
  <si>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</si>
  <si>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</si>
  <si>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</si>
  <si>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</si>
  <si>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</si>
  <si>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</si>
  <si>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</si>
  <si>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</si>
  <si>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</si>
  <si>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</si>
  <si>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</si>
  <si>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</si>
  <si>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</si>
  <si>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</si>
  <si>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</si>
  <si>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</si>
  <si>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</si>
  <si>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</si>
  <si>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</si>
  <si>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</si>
  <si>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</si>
  <si>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</si>
  <si>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</si>
  <si>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</si>
  <si>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</si>
  <si>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</si>
  <si>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</si>
  <si>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</si>
  <si>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</si>
  <si>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</si>
  <si>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</si>
  <si>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</si>
  <si>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</si>
  <si>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</si>
  <si>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</si>
  <si>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</si>
  <si>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</si>
  <si>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</si>
  <si>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</si>
  <si>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</si>
  <si>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</si>
  <si>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</si>
  <si>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</si>
  <si>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</si>
  <si>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</si>
  <si>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</si>
  <si>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</si>
  <si>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</si>
  <si>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</si>
  <si>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</si>
  <si>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</si>
  <si>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</si>
  <si>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</si>
  <si>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</si>
  <si>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</si>
  <si>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</si>
  <si>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</si>
  <si>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</si>
  <si>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</si>
  <si>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</si>
  <si>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</si>
  <si>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</si>
  <si>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</si>
  <si>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</si>
  <si>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</si>
  <si>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</si>
  <si>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</si>
  <si>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</si>
  <si>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</si>
  <si>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</si>
  <si>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</si>
  <si>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</si>
  <si>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</si>
  <si>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</si>
  <si>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</si>
  <si>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</si>
  <si>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</si>
  <si>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</si>
  <si>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</si>
  <si>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</si>
  <si>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</si>
  <si>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</si>
  <si>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</si>
  <si>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</si>
  <si>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</si>
  <si>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</si>
  <si>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</si>
  <si>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</si>
  <si>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</si>
  <si>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</si>
  <si>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</si>
  <si>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</si>
  <si>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</si>
  <si>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</si>
  <si>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</si>
  <si>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</si>
  <si>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</si>
  <si>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</si>
  <si>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</si>
  <si>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</si>
  <si>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</si>
  <si>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</si>
  <si>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</si>
  <si>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</si>
  <si>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</si>
  <si>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</si>
  <si>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</si>
  <si>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</si>
  <si>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</si>
  <si>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</si>
  <si>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</si>
  <si>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</si>
  <si>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</si>
  <si>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</si>
  <si>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</si>
  <si>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</si>
  <si>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</si>
  <si>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</si>
  <si>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</si>
  <si>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</si>
  <si>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</si>
  <si>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</si>
  <si>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</si>
  <si>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</si>
  <si>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</si>
  <si>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</si>
  <si>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</si>
  <si>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</si>
  <si>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</si>
  <si>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</si>
  <si>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</si>
  <si>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</si>
  <si>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</si>
  <si>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</si>
  <si>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</si>
  <si>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</si>
  <si>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</si>
  <si>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</si>
  <si>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</si>
  <si>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</si>
  <si>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</si>
  <si>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</si>
  <si>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</si>
  <si>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</si>
  <si>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</si>
  <si>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</si>
  <si>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</si>
  <si>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</si>
  <si>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</si>
  <si>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</si>
  <si>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</si>
  <si>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</si>
  <si>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</si>
  <si>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</si>
  <si>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</si>
  <si>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</si>
  <si>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</si>
  <si>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</si>
  <si>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</si>
  <si>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</si>
  <si>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</si>
  <si>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</si>
  <si>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</si>
  <si>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</si>
  <si>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</si>
  <si>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</si>
  <si>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</si>
  <si>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</si>
  <si>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</si>
  <si>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</si>
  <si>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</si>
  <si>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</si>
  <si>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</si>
  <si>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</si>
  <si>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</si>
  <si>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</si>
  <si>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</si>
  <si>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</si>
  <si>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</si>
  <si>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</si>
  <si>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</si>
  <si>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</si>
  <si>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</si>
  <si>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</si>
  <si>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</si>
  <si>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</si>
  <si>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</si>
  <si>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</si>
  <si>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</si>
  <si>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</si>
  <si>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</si>
  <si>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</si>
  <si>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</si>
  <si>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</si>
  <si>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</si>
  <si>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</si>
  <si>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</si>
  <si>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</si>
  <si>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</si>
  <si>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</si>
  <si>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</si>
  <si>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</si>
  <si>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</si>
  <si>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</si>
  <si>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</si>
  <si>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</si>
  <si>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</si>
  <si>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</si>
  <si>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</si>
  <si>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</si>
  <si>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</si>
  <si>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</si>
  <si>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</si>
  <si>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</si>
  <si>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</si>
  <si>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</si>
  <si>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</si>
  <si>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</si>
  <si>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</si>
  <si>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</si>
  <si>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</si>
  <si>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</si>
  <si>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</si>
  <si>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</si>
  <si>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</si>
  <si>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</si>
  <si>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</si>
  <si>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</si>
  <si>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</si>
  <si>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</si>
  <si>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</si>
  <si>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</si>
  <si>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</si>
  <si>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</si>
  <si>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</si>
  <si>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</si>
  <si>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</si>
  <si>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</si>
  <si>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</si>
  <si>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</si>
  <si>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</si>
  <si>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</si>
  <si>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</si>
  <si>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</si>
  <si>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</si>
  <si>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</si>
  <si>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</si>
  <si>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</si>
  <si>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</si>
  <si>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</si>
  <si>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</si>
  <si>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</si>
  <si>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</si>
  <si>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</si>
  <si>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</si>
  <si>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</si>
  <si>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</si>
  <si>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</si>
  <si>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</si>
  <si>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</si>
  <si>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</si>
  <si>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</si>
  <si>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</si>
  <si>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</si>
  <si>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</si>
  <si>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</si>
  <si>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</si>
  <si>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</si>
  <si>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</si>
  <si>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</si>
  <si>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</si>
  <si>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</si>
  <si>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</si>
  <si>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</si>
  <si>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</si>
  <si>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</si>
  <si>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</si>
  <si>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</si>
  <si>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</si>
  <si>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</si>
  <si>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</si>
  <si>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</si>
  <si>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</si>
  <si>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</si>
  <si>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</si>
  <si>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</si>
  <si>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</si>
  <si>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</si>
  <si>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</si>
  <si>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</si>
  <si>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</si>
  <si>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</si>
  <si>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</si>
  <si>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</si>
  <si>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</si>
  <si>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</si>
  <si>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</si>
  <si>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</si>
  <si>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</si>
  <si>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</si>
  <si>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</si>
  <si>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</si>
  <si>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</si>
  <si>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</si>
  <si>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</si>
  <si>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</si>
  <si>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</si>
  <si>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</si>
  <si>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</si>
  <si>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</si>
  <si>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</si>
  <si>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</si>
  <si>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</si>
  <si>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</si>
  <si>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</si>
  <si>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</si>
  <si>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</si>
  <si>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</si>
  <si>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</si>
  <si>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</si>
  <si>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</si>
  <si>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</si>
  <si>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</si>
  <si>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</si>
  <si>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</si>
  <si>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</si>
  <si>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</si>
  <si>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</si>
  <si>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</si>
  <si>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</si>
  <si>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</si>
  <si>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</si>
  <si>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</si>
  <si>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</si>
  <si>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</si>
  <si>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</si>
  <si>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</si>
  <si>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</si>
  <si>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</si>
  <si>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</si>
  <si>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</si>
  <si>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</si>
  <si>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</si>
  <si>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</si>
  <si>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</si>
  <si>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</si>
  <si>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</si>
  <si>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</si>
  <si>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</si>
  <si>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</si>
  <si>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</si>
  <si>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</si>
  <si>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</si>
  <si>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</si>
  <si>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</si>
  <si>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</si>
  <si>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</si>
  <si>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</si>
  <si>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</si>
  <si>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</si>
  <si>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</si>
  <si>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</si>
  <si>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</si>
  <si>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</si>
  <si>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</si>
  <si>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</si>
  <si>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</si>
  <si>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</si>
  <si>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</si>
  <si>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</si>
  <si>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</si>
  <si>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</si>
  <si>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</si>
  <si>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</si>
  <si>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</si>
  <si>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</si>
  <si>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</si>
  <si>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</si>
  <si>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</si>
  <si>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</si>
  <si>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</si>
  <si>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</si>
  <si>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</si>
  <si>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</si>
  <si>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</si>
  <si>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</si>
  <si>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</si>
  <si>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</si>
  <si>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</si>
  <si>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</si>
  <si>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</si>
  <si>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</si>
  <si>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</si>
  <si>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</si>
  <si>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</si>
  <si>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</si>
  <si>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</si>
  <si>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</si>
  <si>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</si>
  <si>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</si>
  <si>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</si>
  <si>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</si>
  <si>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</si>
  <si>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</si>
  <si>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</si>
  <si>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</si>
  <si>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</si>
  <si>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</si>
  <si>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</si>
  <si>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</si>
  <si>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</si>
  <si>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</si>
  <si>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</si>
  <si>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</si>
  <si>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</si>
  <si>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</si>
  <si>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</si>
  <si>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</si>
  <si>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</si>
  <si>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</si>
  <si>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</si>
  <si>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</si>
  <si>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</si>
  <si>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</si>
  <si>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</si>
  <si>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</si>
  <si>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</si>
  <si>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</si>
  <si>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</si>
  <si>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</si>
  <si>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</si>
  <si>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</si>
  <si>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</si>
  <si>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</si>
  <si>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</si>
  <si>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</si>
  <si>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</si>
  <si>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</si>
  <si>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</si>
  <si>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</si>
  <si>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</si>
  <si>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</si>
  <si>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</si>
  <si>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</si>
  <si>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</si>
  <si>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</si>
  <si>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</si>
  <si>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</si>
  <si>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</si>
  <si>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</si>
  <si>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</si>
  <si>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</si>
  <si>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</si>
  <si>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</si>
  <si>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</si>
  <si>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</si>
  <si>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</si>
  <si>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</si>
  <si>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</si>
  <si>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</si>
  <si>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</si>
  <si>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</si>
  <si>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</si>
  <si>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</si>
  <si>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</si>
  <si>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</si>
  <si>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</si>
  <si>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</si>
  <si>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</si>
  <si>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</si>
  <si>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</si>
  <si>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</si>
  <si>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</si>
  <si>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</si>
  <si>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</si>
  <si>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</si>
  <si>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</si>
  <si>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</si>
  <si>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</si>
  <si>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</si>
  <si>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</si>
  <si>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</si>
  <si>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</si>
  <si>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</si>
  <si>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</si>
  <si>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</si>
  <si>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</si>
  <si>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</si>
  <si>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</si>
  <si>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</si>
  <si>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</si>
  <si>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</si>
  <si>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</si>
  <si>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</si>
  <si>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</si>
  <si>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</si>
  <si>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</si>
  <si>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</si>
  <si>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</si>
  <si>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</si>
  <si>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</si>
  <si>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</si>
  <si>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</si>
  <si>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</si>
  <si>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</si>
  <si>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</si>
  <si>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</si>
  <si>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</si>
  <si>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</si>
  <si>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</si>
  <si>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</si>
  <si>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</si>
  <si>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</si>
  <si>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</si>
  <si>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</si>
  <si>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</si>
  <si>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</si>
  <si>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</si>
  <si>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</si>
  <si>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</si>
  <si>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</si>
  <si>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</si>
  <si>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</si>
  <si>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</si>
  <si>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</si>
  <si>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</si>
  <si>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</si>
  <si>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</si>
  <si>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</si>
  <si>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</si>
  <si>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</si>
  <si>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</si>
  <si>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</si>
  <si>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</si>
  <si>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</si>
  <si>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</si>
  <si>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</si>
  <si>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</si>
  <si>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</si>
  <si>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</si>
  <si>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</si>
  <si>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</si>
  <si>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</si>
  <si>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</si>
  <si>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</si>
  <si>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</si>
  <si>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</si>
  <si>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</si>
  <si>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</si>
  <si>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</si>
  <si>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</si>
  <si>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</si>
  <si>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</si>
  <si>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</si>
  <si>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</si>
  <si>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</si>
  <si>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</si>
  <si>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</si>
  <si>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</si>
  <si>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</si>
  <si>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</si>
  <si>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</si>
  <si>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</si>
  <si>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</si>
  <si>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</si>
  <si>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</si>
  <si>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</si>
  <si>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</si>
  <si>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</si>
  <si>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</si>
  <si>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</si>
  <si>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</si>
  <si>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</si>
  <si>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</si>
  <si>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</si>
  <si>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</si>
  <si>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</si>
  <si>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</si>
  <si>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</si>
  <si>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</si>
  <si>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</si>
  <si>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</si>
  <si>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</si>
  <si>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</si>
  <si>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</si>
  <si>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</si>
  <si>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</si>
  <si>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</si>
  <si>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</si>
  <si>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</si>
  <si>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</si>
  <si>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</si>
  <si>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</si>
  <si>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</si>
  <si>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</si>
  <si>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</si>
  <si>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</si>
  <si>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</si>
  <si>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</si>
  <si>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</si>
  <si>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</si>
  <si>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</si>
  <si>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</si>
  <si>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</si>
  <si>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</si>
  <si>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</si>
  <si>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</si>
  <si>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</si>
  <si>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</si>
  <si>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</si>
  <si>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</si>
  <si>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</si>
  <si>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</si>
  <si>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</si>
  <si>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</si>
  <si>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</si>
  <si>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</si>
  <si>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</si>
  <si>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</si>
  <si>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</si>
  <si>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</si>
  <si>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</si>
  <si>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</si>
  <si>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</si>
  <si>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</si>
  <si>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</si>
  <si>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</si>
  <si>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</si>
  <si>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</si>
  <si>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</si>
  <si>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</si>
  <si>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</si>
  <si>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</si>
  <si>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</si>
  <si>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</si>
  <si>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</si>
  <si>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</si>
  <si>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</si>
  <si>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</si>
  <si>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</si>
  <si>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</si>
  <si>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</si>
  <si>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</si>
  <si>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</si>
  <si>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</si>
  <si>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</si>
  <si>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</si>
  <si>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</si>
  <si>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</si>
  <si>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</si>
  <si>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</si>
  <si>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</si>
  <si>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</si>
  <si>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</si>
  <si>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</si>
  <si>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</si>
  <si>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</si>
  <si>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</si>
  <si>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</si>
  <si>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</si>
  <si>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</si>
  <si>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</si>
  <si>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</si>
  <si>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</si>
  <si>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</si>
  <si>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</si>
  <si>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</si>
  <si>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</si>
  <si>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</si>
  <si>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</si>
  <si>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</si>
  <si>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</si>
  <si>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</si>
  <si>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</si>
  <si>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</si>
  <si>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</si>
  <si>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</si>
  <si>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</si>
  <si>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</si>
  <si>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</si>
  <si>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</si>
  <si>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</si>
  <si>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</si>
  <si>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</si>
  <si>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</si>
  <si>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</si>
  <si>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</si>
  <si>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</si>
  <si>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</si>
  <si>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</si>
  <si>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</si>
  <si>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</si>
  <si>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</si>
  <si>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</si>
  <si>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</si>
  <si>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</si>
  <si>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</si>
  <si>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</si>
  <si>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</si>
  <si>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</si>
  <si>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</si>
  <si>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</si>
  <si>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</si>
  <si>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</si>
  <si>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</si>
  <si>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</si>
  <si>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</si>
  <si>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</si>
  <si>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</si>
  <si>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</si>
  <si>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</si>
  <si>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</si>
  <si>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</si>
  <si>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</si>
  <si>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</si>
  <si>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</si>
  <si>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</si>
  <si>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</si>
  <si>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</si>
  <si>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</si>
  <si>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</si>
  <si>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</si>
  <si>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</si>
  <si>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</si>
  <si>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</si>
  <si>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</si>
  <si>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</si>
  <si>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</si>
  <si>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</si>
  <si>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</si>
  <si>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</si>
  <si>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</si>
  <si>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</si>
  <si>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</si>
  <si>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</si>
  <si>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</si>
  <si>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</si>
  <si>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</si>
  <si>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</si>
  <si>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</si>
  <si>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</si>
  <si>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</si>
  <si>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</si>
  <si>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</si>
  <si>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</si>
  <si>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</si>
  <si>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</si>
  <si>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</si>
  <si>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</si>
  <si>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</si>
  <si>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</si>
  <si>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</si>
  <si>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</si>
  <si>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</si>
  <si>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</si>
  <si>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</si>
  <si>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</si>
  <si>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</si>
  <si>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</si>
  <si>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</si>
  <si>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</si>
  <si>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</si>
  <si>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</si>
  <si>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</si>
  <si>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</si>
  <si>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</si>
  <si>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</si>
  <si>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</si>
  <si>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</si>
  <si>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</si>
  <si>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</si>
  <si>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</si>
  <si>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</si>
  <si>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</si>
  <si>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</si>
  <si>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</si>
  <si>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</si>
  <si>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</si>
  <si>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</si>
  <si>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</si>
  <si>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</si>
  <si>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</si>
  <si>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</si>
  <si>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</si>
  <si>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</si>
  <si>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</si>
  <si>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</si>
  <si>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</si>
  <si>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</si>
  <si>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</si>
  <si>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</si>
  <si>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</si>
  <si>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</si>
  <si>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</si>
  <si>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</si>
  <si>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</si>
  <si>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</si>
  <si>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</si>
  <si>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</si>
  <si>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</si>
  <si>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</si>
  <si>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</si>
  <si>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</si>
  <si>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</si>
  <si>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</si>
  <si>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</si>
  <si>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</si>
  <si>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</si>
  <si>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</si>
  <si>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</si>
  <si>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</si>
  <si>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</si>
  <si>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</si>
  <si>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</si>
  <si>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</si>
  <si>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</si>
  <si>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</si>
  <si>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</si>
  <si>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</si>
  <si>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</si>
  <si>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</si>
  <si>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</si>
  <si>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</si>
  <si>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</si>
  <si>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</si>
  <si>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</si>
  <si>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</si>
  <si>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</si>
  <si>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</si>
  <si>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</si>
  <si>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</si>
  <si>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</si>
  <si>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</si>
  <si>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</si>
  <si>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</si>
  <si>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</si>
  <si>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</si>
  <si>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</si>
  <si>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</si>
  <si>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</si>
  <si>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</si>
  <si>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</si>
  <si>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</si>
  <si>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</si>
  <si>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</si>
  <si>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</si>
  <si>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</si>
  <si>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</si>
  <si>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</si>
  <si>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</si>
  <si>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</si>
  <si>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</si>
  <si>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</si>
  <si>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</si>
  <si>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</si>
  <si>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</si>
  <si>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</si>
  <si>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</si>
  <si>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</si>
  <si>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</si>
  <si>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</si>
  <si>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</si>
  <si>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</si>
  <si>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</si>
  <si>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</si>
  <si>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</si>
  <si>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</si>
  <si>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</si>
  <si>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</si>
  <si>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</si>
  <si>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</si>
  <si>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</si>
  <si>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</si>
  <si>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</si>
  <si>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</si>
  <si>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</si>
  <si>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</si>
  <si>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</si>
  <si>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</si>
  <si>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</si>
  <si>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</si>
  <si>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</si>
  <si>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</si>
  <si>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</si>
  <si>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</si>
  <si>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</si>
  <si>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</si>
  <si>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</si>
  <si>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</si>
  <si>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</si>
  <si>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</si>
  <si>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</si>
  <si>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</si>
  <si>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</si>
  <si>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</si>
  <si>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</si>
  <si>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</si>
  <si>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</si>
  <si>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</si>
  <si>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</si>
  <si>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</si>
  <si>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</si>
  <si>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</si>
  <si>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</si>
  <si>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</si>
  <si>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</si>
  <si>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</si>
  <si>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</si>
  <si>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</si>
  <si>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</si>
  <si>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</si>
  <si>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</si>
  <si>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</si>
  <si>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</si>
  <si>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</si>
  <si>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</si>
  <si>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</si>
  <si>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</si>
  <si>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</si>
  <si>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</si>
  <si>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</si>
  <si>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</si>
  <si>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</si>
  <si>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</si>
  <si>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</si>
  <si>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</si>
  <si>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</si>
  <si>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</si>
  <si>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</si>
  <si>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</si>
  <si>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</si>
  <si>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</si>
  <si>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</si>
  <si>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</si>
  <si>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</si>
  <si>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</si>
  <si>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</si>
  <si>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</si>
  <si>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</si>
  <si>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</si>
  <si>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</si>
  <si>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</si>
  <si>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</si>
  <si>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</si>
  <si>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</si>
  <si>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</si>
  <si>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</si>
  <si>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</si>
  <si>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</si>
  <si>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</si>
  <si>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</si>
  <si>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</si>
  <si>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</si>
  <si>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</si>
  <si>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</si>
  <si>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</si>
  <si>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</si>
  <si>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</si>
  <si>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</si>
  <si>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</si>
  <si>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</si>
  <si>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</si>
  <si>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</si>
  <si>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</si>
  <si>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</si>
  <si>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</si>
  <si>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</si>
  <si>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</si>
  <si>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</si>
  <si>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</si>
  <si>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</si>
  <si>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</si>
  <si>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</si>
  <si>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</si>
  <si>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</si>
  <si>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</si>
  <si>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</si>
  <si>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</si>
  <si>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</si>
  <si>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</si>
  <si>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</si>
  <si>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</si>
  <si>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</si>
  <si>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</si>
  <si>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</si>
  <si>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</si>
  <si>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</si>
  <si>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</si>
  <si>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</si>
  <si>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</si>
  <si>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</si>
  <si>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</si>
  <si>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</si>
  <si>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</si>
  <si>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</si>
  <si>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</si>
  <si>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</si>
  <si>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</si>
  <si>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</si>
  <si>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</si>
  <si>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</si>
  <si>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</si>
  <si>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</si>
  <si>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</si>
  <si>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</si>
  <si>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</si>
  <si>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</si>
  <si>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</si>
  <si>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</si>
  <si>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</si>
  <si>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</si>
  <si>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</si>
  <si>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</si>
  <si>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</si>
  <si>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</si>
  <si>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</si>
  <si>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</si>
  <si>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</si>
  <si>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</si>
  <si>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</si>
  <si>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</si>
  <si>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</si>
  <si>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</si>
  <si>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</si>
  <si>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</si>
  <si>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</si>
  <si>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</si>
  <si>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</si>
  <si>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</si>
  <si>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</si>
  <si>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</si>
  <si>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</si>
  <si>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</si>
  <si>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</si>
  <si>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</si>
  <si>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</si>
  <si>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</si>
  <si>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</si>
  <si>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</si>
  <si>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</si>
  <si>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</si>
  <si>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</si>
  <si>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</si>
  <si>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</si>
  <si>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</si>
  <si>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</si>
  <si>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</si>
  <si>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</si>
  <si>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</si>
  <si>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</si>
  <si>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</si>
  <si>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</si>
  <si>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</si>
  <si>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</si>
  <si>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</si>
  <si>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</si>
  <si>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</si>
  <si>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</si>
  <si>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</si>
  <si>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</si>
  <si>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</si>
  <si>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</si>
  <si>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</si>
  <si>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</si>
  <si>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</si>
  <si>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</si>
  <si>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</si>
  <si>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</si>
  <si>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</si>
  <si>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</si>
  <si>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</si>
  <si>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</si>
  <si>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</si>
  <si>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</si>
  <si>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</si>
  <si>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</si>
  <si>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</si>
  <si>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</si>
  <si>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</si>
  <si>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</si>
  <si>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</si>
  <si>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</si>
  <si>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</si>
  <si>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</si>
  <si>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</si>
  <si>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</si>
  <si>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</si>
  <si>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</si>
  <si>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</si>
  <si>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</si>
  <si>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</si>
  <si>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</si>
  <si>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</si>
  <si>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</si>
  <si>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</si>
  <si>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</si>
  <si>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</si>
  <si>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</si>
  <si>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</si>
  <si>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</si>
  <si>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</si>
  <si>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</si>
  <si>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</si>
  <si>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</si>
  <si>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</si>
  <si>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</si>
  <si>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</si>
  <si>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</si>
  <si>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</si>
  <si>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</si>
  <si>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</si>
  <si>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</si>
  <si>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</si>
  <si>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</si>
  <si>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</si>
  <si>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</si>
  <si>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</si>
  <si>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</si>
  <si>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</si>
  <si>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</si>
  <si>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</si>
  <si>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</si>
  <si>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</si>
  <si>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</si>
  <si>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</si>
  <si>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</si>
  <si>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</si>
  <si>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</si>
  <si>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</si>
  <si>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</si>
  <si>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</si>
  <si>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</si>
  <si>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</si>
  <si>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</si>
  <si>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</si>
  <si>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</si>
  <si>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</si>
  <si>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</si>
  <si>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</si>
  <si>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</si>
  <si>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</si>
  <si>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</si>
  <si>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</si>
  <si>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</si>
  <si>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</si>
  <si>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</si>
  <si>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</si>
  <si>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</si>
  <si>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</si>
  <si>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</si>
  <si>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</si>
  <si>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</si>
  <si>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</si>
  <si>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</si>
  <si>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</si>
  <si>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</si>
  <si>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</si>
  <si>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</si>
  <si>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</si>
  <si>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</si>
  <si>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</si>
  <si>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</si>
  <si>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</si>
  <si>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</si>
  <si>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</si>
  <si>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</si>
  <si>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</si>
  <si>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</si>
  <si>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</si>
  <si>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</si>
  <si>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</si>
  <si>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</si>
  <si>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</si>
  <si>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</si>
  <si>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</si>
  <si>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</si>
  <si>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</si>
  <si>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</si>
  <si>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</si>
  <si>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</si>
  <si>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</si>
  <si>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</si>
  <si>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</si>
  <si>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</si>
  <si>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</si>
  <si>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</si>
  <si>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</si>
  <si>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</si>
  <si>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</si>
  <si>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</si>
  <si>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</si>
  <si>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</si>
  <si>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</si>
  <si>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</si>
  <si>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</si>
  <si>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</si>
  <si>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</si>
  <si>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</si>
  <si>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</si>
  <si>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</si>
  <si>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</si>
  <si>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</si>
  <si>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</si>
  <si>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</si>
  <si>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</si>
  <si>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</si>
  <si>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</si>
  <si>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</si>
  <si>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</si>
  <si>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</si>
  <si>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</si>
  <si>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</si>
  <si>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</si>
  <si>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</si>
  <si>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</si>
  <si>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</si>
  <si>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</si>
  <si>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</si>
  <si>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</si>
  <si>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</si>
  <si>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</si>
  <si>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</si>
  <si>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</si>
  <si>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</si>
  <si>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</si>
  <si>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</si>
  <si>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</si>
  <si>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</si>
  <si>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</si>
  <si>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</si>
  <si>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</si>
  <si>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</si>
  <si>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</si>
  <si>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</si>
  <si>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</si>
  <si>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</si>
  <si>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</si>
  <si>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</si>
  <si>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</si>
  <si>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</si>
  <si>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</si>
  <si>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</si>
  <si>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</si>
  <si>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</si>
  <si>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</si>
  <si>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</si>
  <si>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</si>
  <si>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</si>
  <si>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</si>
  <si>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</si>
  <si>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</si>
  <si>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</si>
  <si>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</si>
  <si>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</si>
  <si>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</si>
  <si>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</si>
  <si>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</si>
  <si>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</si>
  <si>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</si>
  <si>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</si>
  <si>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</si>
  <si>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</si>
  <si>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</si>
  <si>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</si>
  <si>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</si>
  <si>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</si>
  <si>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</si>
  <si>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</si>
  <si>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</si>
  <si>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</si>
  <si>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</si>
  <si>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</si>
  <si>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بدهی به مهدی 23/1/98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</si>
  <si>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</si>
  <si>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</si>
  <si>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</si>
  <si>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</si>
  <si>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</si>
  <si>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</si>
  <si>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</si>
  <si>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</si>
  <si>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</si>
  <si>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</si>
  <si>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</si>
  <si>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</si>
  <si>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بدهی به داریوش 28/1/98</t>
  </si>
  <si>
    <t>28/1/1398</t>
  </si>
  <si>
    <t>261307622 </t>
  </si>
  <si>
    <t>31/1/1398</t>
  </si>
  <si>
    <t>2/2/1398</t>
  </si>
  <si>
    <t>واریز مریم 3/2/98 طلا گرمی 438200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</si>
</sst>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4812</v>
      </c>
      <c r="B44" s="113">
        <v>-31000</v>
      </c>
      <c r="C44" s="99" t="s">
        <v>4825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4914</v>
      </c>
      <c r="B45" s="113">
        <v>2060725</v>
      </c>
      <c r="C45" s="99" t="s">
        <v>4919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4950</v>
      </c>
      <c r="B46" s="113">
        <v>-1073169</v>
      </c>
      <c r="C46" s="99" t="s">
        <v>4951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4939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4939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4955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4962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4963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4970</v>
      </c>
      <c r="B52" s="113">
        <v>-195330</v>
      </c>
      <c r="C52" s="99" t="s">
        <v>4977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4984</v>
      </c>
      <c r="B53" s="113">
        <v>-140730</v>
      </c>
      <c r="C53" s="99" t="s">
        <v>4991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4989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4989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4993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4872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4872</v>
      </c>
      <c r="I46" s="11">
        <v>248200</v>
      </c>
      <c r="J46" s="11" t="s">
        <v>4883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topLeftCell="A31" workbookViewId="0">
      <selection activeCell="E53" sqref="E53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4943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4945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4939</v>
      </c>
      <c r="B4" s="18">
        <v>-960200</v>
      </c>
      <c r="C4" s="18">
        <v>0</v>
      </c>
      <c r="D4" s="113">
        <f t="shared" si="0"/>
        <v>-960200</v>
      </c>
      <c r="E4" s="99" t="s">
        <v>4946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4824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4824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4824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4835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4835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4835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4839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4840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4840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4845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4845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4887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4899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4905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4906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4925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4925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4947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4976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4992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4996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5013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2150136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4634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4654</v>
      </c>
      <c r="B296" s="18">
        <v>-200000</v>
      </c>
      <c r="C296" s="18">
        <v>0</v>
      </c>
      <c r="D296" s="18">
        <f t="shared" si="18"/>
        <v>-200000</v>
      </c>
      <c r="E296" s="99" t="s">
        <v>4655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4671</v>
      </c>
      <c r="B301" s="18">
        <v>-51400</v>
      </c>
      <c r="C301" s="18">
        <v>0</v>
      </c>
      <c r="D301" s="18">
        <f t="shared" si="18"/>
        <v>-51400</v>
      </c>
      <c r="E301" s="99" t="s">
        <v>4678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4708</v>
      </c>
      <c r="B305" s="18">
        <v>-276773</v>
      </c>
      <c r="C305" s="18">
        <v>0</v>
      </c>
      <c r="D305" s="18">
        <f t="shared" si="18"/>
        <v>-276773</v>
      </c>
      <c r="E305" s="99" t="s">
        <v>4712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4746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4738</v>
      </c>
      <c r="B312" s="18">
        <v>-324747</v>
      </c>
      <c r="C312" s="18">
        <v>0</v>
      </c>
      <c r="D312" s="18">
        <f t="shared" si="18"/>
        <v>-324747</v>
      </c>
      <c r="E312" s="99" t="s">
        <v>4747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4756</v>
      </c>
      <c r="B313" s="18">
        <v>-297992</v>
      </c>
      <c r="C313" s="18">
        <v>0</v>
      </c>
      <c r="D313" s="18">
        <f t="shared" si="18"/>
        <v>-297992</v>
      </c>
      <c r="E313" s="99" t="s">
        <v>4757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4765</v>
      </c>
      <c r="B315" s="18">
        <v>-40000</v>
      </c>
      <c r="C315" s="18">
        <v>0</v>
      </c>
      <c r="D315" s="18">
        <f t="shared" si="18"/>
        <v>-40000</v>
      </c>
      <c r="E315" s="99" t="s">
        <v>4782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4824</v>
      </c>
      <c r="B319" s="18">
        <v>-1866154</v>
      </c>
      <c r="C319" s="18">
        <v>0</v>
      </c>
      <c r="D319" s="18">
        <f t="shared" si="18"/>
        <v>-1866154</v>
      </c>
      <c r="E319" s="19" t="s">
        <v>4833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4824</v>
      </c>
      <c r="B320" s="18">
        <v>-36600</v>
      </c>
      <c r="C320" s="18">
        <v>0</v>
      </c>
      <c r="D320" s="18">
        <f t="shared" si="18"/>
        <v>-36600</v>
      </c>
      <c r="E320" s="99" t="s">
        <v>4834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4835</v>
      </c>
      <c r="B321" s="18">
        <v>-492000</v>
      </c>
      <c r="C321" s="18">
        <v>0</v>
      </c>
      <c r="D321" s="18">
        <f t="shared" si="18"/>
        <v>-492000</v>
      </c>
      <c r="E321" s="99" t="s">
        <v>4836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4835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4835</v>
      </c>
      <c r="B323" s="18">
        <v>-40000</v>
      </c>
      <c r="C323" s="18">
        <v>0</v>
      </c>
      <c r="D323" s="18">
        <f t="shared" si="18"/>
        <v>-40000</v>
      </c>
      <c r="E323" s="99" t="s">
        <v>4838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4839</v>
      </c>
      <c r="B324" s="18">
        <v>-66000</v>
      </c>
      <c r="C324" s="18">
        <v>0</v>
      </c>
      <c r="D324" s="18">
        <f t="shared" si="18"/>
        <v>-66000</v>
      </c>
      <c r="E324" s="99" t="s">
        <v>4838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4840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4840</v>
      </c>
      <c r="B326" s="18">
        <v>-200500</v>
      </c>
      <c r="C326" s="18">
        <v>0</v>
      </c>
      <c r="D326" s="18">
        <f t="shared" si="18"/>
        <v>-200500</v>
      </c>
      <c r="E326" s="99" t="s">
        <v>4841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4845</v>
      </c>
      <c r="B327" s="18">
        <v>1563000</v>
      </c>
      <c r="C327" s="18">
        <v>0</v>
      </c>
      <c r="D327" s="18">
        <f t="shared" si="18"/>
        <v>1563000</v>
      </c>
      <c r="E327" s="99" t="s">
        <v>4851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4845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4860</v>
      </c>
      <c r="B329" s="18">
        <v>-20000</v>
      </c>
      <c r="C329" s="18">
        <v>0</v>
      </c>
      <c r="D329" s="18">
        <f t="shared" si="18"/>
        <v>-20000</v>
      </c>
      <c r="E329" s="99" t="s">
        <v>4865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4876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4882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4887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4899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4903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4903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4903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4905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4905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4906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4906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4914</v>
      </c>
      <c r="B341" s="18">
        <v>433375</v>
      </c>
      <c r="C341" s="18">
        <v>0</v>
      </c>
      <c r="D341" s="18">
        <f t="shared" si="18"/>
        <v>433375</v>
      </c>
      <c r="E341" s="99" t="s">
        <v>4919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4925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4925</v>
      </c>
      <c r="B343" s="18">
        <v>-300000</v>
      </c>
      <c r="C343" s="18">
        <v>0</v>
      </c>
      <c r="D343" s="18">
        <f t="shared" si="18"/>
        <v>-300000</v>
      </c>
      <c r="E343" s="99" t="s">
        <v>4928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4925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4936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4945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4939</v>
      </c>
      <c r="B347" s="18">
        <v>-960200</v>
      </c>
      <c r="C347" s="18">
        <v>0</v>
      </c>
      <c r="D347" s="18">
        <f t="shared" si="18"/>
        <v>-960200</v>
      </c>
      <c r="E347" s="99" t="s">
        <v>4946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4775</v>
      </c>
      <c r="B75" s="113">
        <v>-20000</v>
      </c>
      <c r="C75" s="99" t="s">
        <v>4783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4654</v>
      </c>
      <c r="B5" s="18">
        <v>-200000</v>
      </c>
      <c r="C5" s="18">
        <v>0</v>
      </c>
      <c r="D5" s="113">
        <f t="shared" si="0"/>
        <v>-200000</v>
      </c>
      <c r="E5" s="20" t="s">
        <v>4651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4671</v>
      </c>
      <c r="B10" s="18">
        <v>-51400</v>
      </c>
      <c r="C10" s="18">
        <v>0</v>
      </c>
      <c r="D10" s="113">
        <f t="shared" si="0"/>
        <v>-51400</v>
      </c>
      <c r="E10" s="19" t="s">
        <v>4678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4746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4738</v>
      </c>
      <c r="B22" s="18">
        <v>-324747</v>
      </c>
      <c r="C22" s="18">
        <v>0</v>
      </c>
      <c r="D22" s="113">
        <f t="shared" si="0"/>
        <v>-324747</v>
      </c>
      <c r="E22" s="19" t="s">
        <v>4747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4756</v>
      </c>
      <c r="B23" s="18">
        <v>-297992</v>
      </c>
      <c r="C23" s="18">
        <v>0</v>
      </c>
      <c r="D23" s="113">
        <f t="shared" si="0"/>
        <v>-297992</v>
      </c>
      <c r="E23" s="19" t="s">
        <v>4757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4824</v>
      </c>
      <c r="B6" s="18">
        <v>-1866154</v>
      </c>
      <c r="C6" s="18">
        <v>0</v>
      </c>
      <c r="D6" s="113">
        <f t="shared" si="0"/>
        <v>-1866154</v>
      </c>
      <c r="E6" s="19" t="s">
        <v>4833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4824</v>
      </c>
      <c r="B7" s="18">
        <v>-36600</v>
      </c>
      <c r="C7" s="18">
        <v>0</v>
      </c>
      <c r="D7" s="113">
        <f t="shared" si="0"/>
        <v>-36600</v>
      </c>
      <c r="E7" s="19" t="s">
        <v>4834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4835</v>
      </c>
      <c r="B8" s="18">
        <v>-492000</v>
      </c>
      <c r="C8" s="18">
        <v>0</v>
      </c>
      <c r="D8" s="113">
        <f t="shared" si="0"/>
        <v>-492000</v>
      </c>
      <c r="E8" s="19" t="s">
        <v>4836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4835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4835</v>
      </c>
      <c r="B10" s="18">
        <v>-40000</v>
      </c>
      <c r="C10" s="18">
        <v>0</v>
      </c>
      <c r="D10" s="113">
        <f t="shared" si="0"/>
        <v>-40000</v>
      </c>
      <c r="E10" s="19" t="s">
        <v>4838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4839</v>
      </c>
      <c r="B11" s="18">
        <v>-66000</v>
      </c>
      <c r="C11" s="18">
        <v>0</v>
      </c>
      <c r="D11" s="113">
        <f t="shared" si="0"/>
        <v>-66000</v>
      </c>
      <c r="E11" s="19" t="s">
        <v>4838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4840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4840</v>
      </c>
      <c r="B13" s="18">
        <v>-200500</v>
      </c>
      <c r="C13" s="18">
        <v>0</v>
      </c>
      <c r="D13" s="113">
        <f t="shared" si="0"/>
        <v>-200500</v>
      </c>
      <c r="E13" s="20" t="s">
        <v>4841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4845</v>
      </c>
      <c r="B14" s="18">
        <v>1563000</v>
      </c>
      <c r="C14" s="18">
        <v>0</v>
      </c>
      <c r="D14" s="113">
        <f t="shared" si="0"/>
        <v>1563000</v>
      </c>
      <c r="E14" s="20" t="s">
        <v>4851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4845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4860</v>
      </c>
      <c r="B16" s="18">
        <v>-20000</v>
      </c>
      <c r="C16" s="18">
        <v>0</v>
      </c>
      <c r="D16" s="113">
        <f t="shared" si="0"/>
        <v>-20000</v>
      </c>
      <c r="E16" s="20" t="s">
        <v>4865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4876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4881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4887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4899</v>
      </c>
      <c r="B20" s="18">
        <v>400000</v>
      </c>
      <c r="C20" s="18">
        <v>0</v>
      </c>
      <c r="D20" s="113">
        <f t="shared" si="0"/>
        <v>400000</v>
      </c>
      <c r="E20" s="19" t="s">
        <v>4901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4903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4903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4903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4905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4905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4906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4906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4914</v>
      </c>
      <c r="B28" s="18">
        <v>433375</v>
      </c>
      <c r="C28" s="18">
        <v>0</v>
      </c>
      <c r="D28" s="113">
        <f t="shared" si="0"/>
        <v>433375</v>
      </c>
      <c r="E28" s="19" t="s">
        <v>4919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4925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4925</v>
      </c>
      <c r="B30" s="18">
        <v>-300000</v>
      </c>
      <c r="C30" s="18">
        <v>0</v>
      </c>
      <c r="D30" s="113">
        <f t="shared" si="0"/>
        <v>-300000</v>
      </c>
      <c r="E30" s="19" t="s">
        <v>4928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4925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4936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4827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4832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4846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4852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4855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4859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4863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4867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4888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4892</v>
      </c>
      <c r="F69" s="96"/>
      <c r="G69" s="96"/>
      <c r="H69" s="96"/>
      <c r="I69" s="96"/>
    </row>
    <row r="70" spans="1:22">
      <c r="D70" s="18">
        <v>-400000</v>
      </c>
      <c r="E70" s="122" t="s">
        <v>4902</v>
      </c>
      <c r="G70" t="s">
        <v>25</v>
      </c>
    </row>
    <row r="71" spans="1:22">
      <c r="D71" s="18">
        <v>463200</v>
      </c>
      <c r="E71" s="122" t="s">
        <v>4904</v>
      </c>
    </row>
    <row r="72" spans="1:22">
      <c r="D72" s="18">
        <v>2000000</v>
      </c>
      <c r="E72" s="96" t="s">
        <v>4907</v>
      </c>
    </row>
    <row r="73" spans="1:22">
      <c r="D73" s="18">
        <v>-280000</v>
      </c>
      <c r="E73" t="s">
        <v>4911</v>
      </c>
    </row>
    <row r="74" spans="1:22">
      <c r="D74" s="18">
        <v>-200000</v>
      </c>
      <c r="E74" s="96" t="s">
        <v>4920</v>
      </c>
    </row>
    <row r="75" spans="1:22">
      <c r="D75" s="18">
        <v>-2000000</v>
      </c>
      <c r="E75" s="96" t="s">
        <v>4926</v>
      </c>
    </row>
    <row r="76" spans="1:22">
      <c r="D76" s="18">
        <v>92800</v>
      </c>
      <c r="E76" s="96" t="s">
        <v>4932</v>
      </c>
    </row>
    <row r="77" spans="1:22">
      <c r="D77" s="18">
        <v>1417727</v>
      </c>
      <c r="E77" s="96" t="s">
        <v>4936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4638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0" t="s">
        <v>1089</v>
      </c>
      <c r="R21" s="250"/>
      <c r="S21" s="250"/>
      <c r="T21" s="250"/>
      <c r="U21" s="96"/>
      <c r="V21" s="96"/>
      <c r="W21" s="96"/>
      <c r="X21" s="96"/>
      <c r="Y21" s="96"/>
      <c r="Z21" s="96"/>
    </row>
    <row r="22" spans="5:35">
      <c r="O22" s="99"/>
      <c r="P22" s="99"/>
      <c r="Q22" s="250"/>
      <c r="R22" s="250"/>
      <c r="S22" s="250"/>
      <c r="T22" s="25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1" t="s">
        <v>1090</v>
      </c>
      <c r="R23" s="252" t="s">
        <v>1091</v>
      </c>
      <c r="S23" s="251" t="s">
        <v>1092</v>
      </c>
      <c r="T23" s="253" t="s">
        <v>1093</v>
      </c>
      <c r="AD23" t="s">
        <v>25</v>
      </c>
    </row>
    <row r="24" spans="5:35">
      <c r="O24" s="99"/>
      <c r="P24" s="99"/>
      <c r="Q24" s="251"/>
      <c r="R24" s="252"/>
      <c r="S24" s="251"/>
      <c r="T24" s="25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4835</v>
      </c>
      <c r="B5" t="s">
        <v>4853</v>
      </c>
    </row>
    <row r="6" spans="1:3">
      <c r="A6" t="s">
        <v>4845</v>
      </c>
      <c r="B6" t="s">
        <v>4854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0" workbookViewId="0">
      <selection activeCell="D34" sqref="D3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4752</v>
      </c>
      <c r="B2" s="95">
        <v>10300</v>
      </c>
      <c r="C2" s="95">
        <v>0</v>
      </c>
      <c r="D2" s="99" t="s">
        <v>4762</v>
      </c>
      <c r="E2" s="96"/>
      <c r="F2" s="96"/>
      <c r="G2" s="96"/>
    </row>
    <row r="3" spans="1:7">
      <c r="A3" s="99" t="s">
        <v>4752</v>
      </c>
      <c r="B3" s="95">
        <v>0</v>
      </c>
      <c r="C3" s="95">
        <v>5500</v>
      </c>
      <c r="D3" s="99" t="s">
        <v>4763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4791</v>
      </c>
      <c r="B6" s="95">
        <v>0</v>
      </c>
      <c r="C6" s="95">
        <v>3000</v>
      </c>
      <c r="D6" s="99" t="s">
        <v>4795</v>
      </c>
      <c r="E6" s="96"/>
      <c r="F6" s="96"/>
      <c r="G6" s="96"/>
    </row>
    <row r="7" spans="1:7">
      <c r="A7" s="99" t="s">
        <v>4791</v>
      </c>
      <c r="B7" s="95">
        <v>9200</v>
      </c>
      <c r="C7" s="95">
        <v>0</v>
      </c>
      <c r="D7" s="99" t="s">
        <v>4762</v>
      </c>
      <c r="E7" s="96"/>
      <c r="F7" s="96"/>
      <c r="G7" s="96"/>
    </row>
    <row r="8" spans="1:7">
      <c r="A8" s="99" t="s">
        <v>4793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4803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4803</v>
      </c>
      <c r="B10" s="95">
        <v>10200</v>
      </c>
      <c r="C10" s="95">
        <v>0</v>
      </c>
      <c r="D10" s="99" t="s">
        <v>4762</v>
      </c>
      <c r="E10" s="96"/>
      <c r="F10" s="96"/>
      <c r="G10" s="96"/>
    </row>
    <row r="11" spans="1:7">
      <c r="A11" s="99" t="s">
        <v>4824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4844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4845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4879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4860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4762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4884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4887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4890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4899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4899</v>
      </c>
      <c r="B22" s="95">
        <v>9600</v>
      </c>
      <c r="C22" s="95">
        <v>0</v>
      </c>
      <c r="D22" s="99" t="s">
        <v>4762</v>
      </c>
      <c r="E22" s="96"/>
      <c r="F22" s="96"/>
      <c r="G22" s="96"/>
      <c r="I22" t="s">
        <v>25</v>
      </c>
    </row>
    <row r="23" spans="1:9">
      <c r="A23" s="99" t="s">
        <v>4906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4925</v>
      </c>
      <c r="B25" s="95">
        <v>0</v>
      </c>
      <c r="C25" s="95">
        <v>1000</v>
      </c>
      <c r="D25" s="99" t="s">
        <v>315</v>
      </c>
    </row>
    <row r="26" spans="1:9">
      <c r="A26" s="99" t="s">
        <v>4968</v>
      </c>
      <c r="B26" s="95">
        <v>0</v>
      </c>
      <c r="C26" s="95">
        <v>12000</v>
      </c>
      <c r="D26" s="99" t="s">
        <v>4983</v>
      </c>
    </row>
    <row r="27" spans="1:9">
      <c r="A27" s="99" t="s">
        <v>4970</v>
      </c>
      <c r="B27" s="95">
        <v>0</v>
      </c>
      <c r="C27" s="95">
        <v>1000</v>
      </c>
      <c r="D27" s="99" t="s">
        <v>315</v>
      </c>
    </row>
    <row r="28" spans="1:9">
      <c r="A28" s="99" t="s">
        <v>4984</v>
      </c>
      <c r="B28" s="95">
        <v>0</v>
      </c>
      <c r="C28" s="95">
        <v>1000</v>
      </c>
      <c r="D28" s="99" t="s">
        <v>315</v>
      </c>
    </row>
    <row r="29" spans="1:9">
      <c r="A29" s="99" t="s">
        <v>4989</v>
      </c>
      <c r="B29" s="95">
        <v>0</v>
      </c>
      <c r="C29" s="95">
        <v>1000</v>
      </c>
      <c r="D29" s="99" t="s">
        <v>315</v>
      </c>
    </row>
    <row r="30" spans="1:9">
      <c r="A30" s="99" t="s">
        <v>4990</v>
      </c>
      <c r="B30" s="95">
        <v>0</v>
      </c>
      <c r="C30" s="95">
        <v>5500</v>
      </c>
      <c r="D30" s="99" t="s">
        <v>4763</v>
      </c>
    </row>
    <row r="31" spans="1:9">
      <c r="A31" s="99" t="s">
        <v>4990</v>
      </c>
      <c r="B31" s="95">
        <v>11000</v>
      </c>
      <c r="C31" s="95">
        <v>0</v>
      </c>
      <c r="D31" s="99" t="s">
        <v>4762</v>
      </c>
    </row>
    <row r="32" spans="1:9">
      <c r="A32" s="99" t="s">
        <v>5000</v>
      </c>
      <c r="B32" s="95">
        <v>0</v>
      </c>
      <c r="C32" s="95">
        <v>1000</v>
      </c>
      <c r="D32" s="99" t="s">
        <v>315</v>
      </c>
    </row>
    <row r="33" spans="1:4">
      <c r="A33" s="99" t="s">
        <v>5004</v>
      </c>
      <c r="B33" s="95">
        <v>0</v>
      </c>
      <c r="C33" s="95">
        <v>1000</v>
      </c>
      <c r="D33" s="99" t="s">
        <v>315</v>
      </c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60500</v>
      </c>
      <c r="C37" s="95">
        <f>SUM(C2:C36)</f>
        <v>48500</v>
      </c>
      <c r="D37" s="99"/>
    </row>
    <row r="39" spans="1:4">
      <c r="A39" s="23" t="s">
        <v>4793</v>
      </c>
      <c r="B39" s="226">
        <v>6700</v>
      </c>
      <c r="C39" s="226">
        <v>0</v>
      </c>
      <c r="D39" s="23" t="s">
        <v>4796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M15" sqref="M15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4792</v>
      </c>
      <c r="L15">
        <v>451474</v>
      </c>
      <c r="M15" s="249" t="s">
        <v>5010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4938</v>
      </c>
      <c r="B193" s="38">
        <v>-25000</v>
      </c>
      <c r="C193" s="11" t="s">
        <v>4948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1"/>
  <sheetViews>
    <sheetView topLeftCell="I13" zoomScaleNormal="100" workbookViewId="0">
      <selection activeCell="L45" sqref="L4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4872</v>
      </c>
      <c r="AT10" s="73" t="s">
        <v>4875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4899</v>
      </c>
      <c r="AT11" s="73" t="s">
        <v>4900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4970</v>
      </c>
      <c r="AT12" s="73" t="s">
        <v>4971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4972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484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195</v>
      </c>
      <c r="T20" s="168" t="s">
        <v>4309</v>
      </c>
      <c r="U20" s="168">
        <v>192.1</v>
      </c>
      <c r="V20" s="168">
        <f t="shared" ref="V20:V54" si="6">U20*(1+$N$90+$Q$15*S20/36500)</f>
        <v>222.98757479452055</v>
      </c>
      <c r="W20" s="32">
        <f t="shared" ref="W20:W33" si="7">V20*(1+$W$19/100)</f>
        <v>227.44732629041096</v>
      </c>
      <c r="X20" s="32">
        <f t="shared" ref="X20:X33" si="8">V20*(1+$X$19/100)</f>
        <v>231.90707778630139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520273651.7334528</v>
      </c>
      <c r="M21" s="168" t="s">
        <v>4301</v>
      </c>
      <c r="N21" s="113">
        <f t="shared" ref="N21:N26" si="9">O21*P21</f>
        <v>17021588.5</v>
      </c>
      <c r="O21" s="99">
        <v>82429</v>
      </c>
      <c r="P21" s="186">
        <f>P58</f>
        <v>206.5</v>
      </c>
      <c r="Q21" s="169">
        <v>595156</v>
      </c>
      <c r="R21" s="168" t="s">
        <v>4393</v>
      </c>
      <c r="S21" s="193">
        <f>S20-52</f>
        <v>143</v>
      </c>
      <c r="T21" s="168" t="s">
        <v>4396</v>
      </c>
      <c r="U21" s="168">
        <v>5808.5</v>
      </c>
      <c r="V21" s="168">
        <f t="shared" si="6"/>
        <v>6510.7396931506846</v>
      </c>
      <c r="W21" s="32">
        <f t="shared" si="7"/>
        <v>6640.9544870136988</v>
      </c>
      <c r="X21" s="32">
        <f t="shared" si="8"/>
        <v>6771.169280876712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-2150136</v>
      </c>
      <c r="M22" s="168" t="s">
        <v>4391</v>
      </c>
      <c r="N22" s="113">
        <f t="shared" si="9"/>
        <v>99044448.900000006</v>
      </c>
      <c r="O22" s="99">
        <v>25521</v>
      </c>
      <c r="P22" s="186">
        <f>P46</f>
        <v>3880.9</v>
      </c>
      <c r="Q22" s="169">
        <v>1484689</v>
      </c>
      <c r="R22" s="168" t="s">
        <v>4430</v>
      </c>
      <c r="S22" s="168">
        <f>S21-7</f>
        <v>136</v>
      </c>
      <c r="T22" s="19" t="s">
        <v>4433</v>
      </c>
      <c r="U22" s="168">
        <v>5474</v>
      </c>
      <c r="V22" s="168">
        <f t="shared" si="6"/>
        <v>6106.4044712328778</v>
      </c>
      <c r="W22" s="32">
        <f t="shared" si="7"/>
        <v>6228.5325606575352</v>
      </c>
      <c r="X22" s="32">
        <f t="shared" si="8"/>
        <v>6350.6606500821927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1206696</v>
      </c>
      <c r="O23" s="99">
        <v>8808</v>
      </c>
      <c r="P23" s="186">
        <f>P48</f>
        <v>137</v>
      </c>
      <c r="Q23" s="169">
        <v>2197673</v>
      </c>
      <c r="R23" s="168" t="s">
        <v>4430</v>
      </c>
      <c r="S23" s="168">
        <f>S22</f>
        <v>136</v>
      </c>
      <c r="T23" s="19" t="s">
        <v>4434</v>
      </c>
      <c r="U23" s="168">
        <v>5349</v>
      </c>
      <c r="V23" s="168">
        <f t="shared" si="6"/>
        <v>5966.9633753424669</v>
      </c>
      <c r="W23" s="32">
        <f>V23*(1+$W$19/100)</f>
        <v>6086.3026428493167</v>
      </c>
      <c r="X23" s="32">
        <f t="shared" si="8"/>
        <v>6205.6419103561657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L70</f>
        <v>476210025.7334528</v>
      </c>
      <c r="G24" s="95">
        <f t="shared" si="0"/>
        <v>-195903680.35151416</v>
      </c>
      <c r="H24" s="11"/>
      <c r="I24" s="96"/>
      <c r="J24" s="96"/>
      <c r="K24" s="215"/>
      <c r="L24" s="117"/>
      <c r="M24" s="215" t="s">
        <v>4410</v>
      </c>
      <c r="N24" s="113">
        <f t="shared" si="9"/>
        <v>105231021.2</v>
      </c>
      <c r="O24" s="99">
        <v>154706</v>
      </c>
      <c r="P24" s="186">
        <f>P51</f>
        <v>680.2</v>
      </c>
      <c r="Q24" s="169">
        <v>1353959</v>
      </c>
      <c r="R24" s="168" t="s">
        <v>4430</v>
      </c>
      <c r="S24" s="199">
        <f>S23</f>
        <v>136</v>
      </c>
      <c r="T24" s="19" t="s">
        <v>4476</v>
      </c>
      <c r="U24" s="168">
        <v>192.2</v>
      </c>
      <c r="V24" s="168">
        <f t="shared" si="6"/>
        <v>214.40462904109592</v>
      </c>
      <c r="W24" s="32">
        <f t="shared" si="7"/>
        <v>218.69272162191783</v>
      </c>
      <c r="X24" s="32">
        <f t="shared" si="8"/>
        <v>222.98081420273977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4538</v>
      </c>
      <c r="N25" s="113">
        <f t="shared" si="9"/>
        <v>94207372.5</v>
      </c>
      <c r="O25" s="99">
        <v>20491</v>
      </c>
      <c r="P25" s="186">
        <f>P52</f>
        <v>4597.5</v>
      </c>
      <c r="Q25" s="169">
        <v>1614398</v>
      </c>
      <c r="R25" s="168" t="s">
        <v>4438</v>
      </c>
      <c r="S25" s="168">
        <f>S24-3</f>
        <v>133</v>
      </c>
      <c r="T25" s="19" t="s">
        <v>4509</v>
      </c>
      <c r="U25" s="168">
        <v>184.6</v>
      </c>
      <c r="V25" s="168">
        <f t="shared" si="6"/>
        <v>205.50177753424657</v>
      </c>
      <c r="W25" s="32">
        <f t="shared" si="7"/>
        <v>209.6118130849315</v>
      </c>
      <c r="X25" s="32">
        <f t="shared" si="8"/>
        <v>213.72184863561645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11582573.6</v>
      </c>
      <c r="O26" s="99">
        <v>1828</v>
      </c>
      <c r="P26" s="99">
        <f>P50</f>
        <v>6336.2</v>
      </c>
      <c r="Q26" s="169">
        <v>133576</v>
      </c>
      <c r="R26" s="168" t="s">
        <v>4516</v>
      </c>
      <c r="S26" s="198">
        <f>S25-22</f>
        <v>111</v>
      </c>
      <c r="T26" s="168" t="s">
        <v>4517</v>
      </c>
      <c r="U26" s="168">
        <v>166.2</v>
      </c>
      <c r="V26" s="168">
        <f t="shared" si="6"/>
        <v>182.21348383561644</v>
      </c>
      <c r="W26" s="32">
        <f t="shared" si="7"/>
        <v>185.85775351232877</v>
      </c>
      <c r="X26" s="32">
        <f t="shared" si="8"/>
        <v>189.5020231890411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110</v>
      </c>
      <c r="T27" s="168" t="s">
        <v>4523</v>
      </c>
      <c r="U27" s="168">
        <v>166</v>
      </c>
      <c r="V27" s="168">
        <f t="shared" si="6"/>
        <v>181.86687123287672</v>
      </c>
      <c r="W27" s="32">
        <f t="shared" si="7"/>
        <v>185.50420865753426</v>
      </c>
      <c r="X27" s="32">
        <f t="shared" si="8"/>
        <v>189.14154608219178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417</v>
      </c>
      <c r="O28" s="69" t="s">
        <v>25</v>
      </c>
      <c r="P28" s="99" t="s">
        <v>25</v>
      </c>
      <c r="Q28" s="169">
        <v>1023940</v>
      </c>
      <c r="R28" s="168" t="s">
        <v>4524</v>
      </c>
      <c r="S28" s="198">
        <f>S27-2</f>
        <v>108</v>
      </c>
      <c r="T28" s="168" t="s">
        <v>4530</v>
      </c>
      <c r="U28" s="168">
        <v>160.19999999999999</v>
      </c>
      <c r="V28" s="168">
        <f t="shared" si="6"/>
        <v>175.26670027397262</v>
      </c>
      <c r="W28" s="32">
        <f t="shared" si="7"/>
        <v>178.77203427945207</v>
      </c>
      <c r="X28" s="32">
        <f t="shared" si="8"/>
        <v>182.27736828493153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 t="shared" ref="N29:N33" si="13">O29*P29</f>
        <v>6634001.3999999994</v>
      </c>
      <c r="O29" s="69">
        <v>1047</v>
      </c>
      <c r="P29" s="99">
        <f>P50</f>
        <v>6336.2</v>
      </c>
      <c r="Q29" s="169">
        <v>168846</v>
      </c>
      <c r="R29" s="168" t="s">
        <v>3691</v>
      </c>
      <c r="S29" s="198">
        <f>S28-28</f>
        <v>80</v>
      </c>
      <c r="T29" s="168" t="s">
        <v>4622</v>
      </c>
      <c r="U29" s="168">
        <v>172.2</v>
      </c>
      <c r="V29" s="168">
        <f t="shared" si="6"/>
        <v>184.69653041095893</v>
      </c>
      <c r="W29" s="32">
        <f t="shared" si="7"/>
        <v>188.3904610191781</v>
      </c>
      <c r="X29" s="32">
        <f t="shared" si="8"/>
        <v>192.08439162739728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5"/>
      <c r="L30" s="117"/>
      <c r="M30" s="190" t="s">
        <v>4391</v>
      </c>
      <c r="N30" s="113">
        <f t="shared" si="13"/>
        <v>4420345.1000000006</v>
      </c>
      <c r="O30" s="69">
        <v>1139</v>
      </c>
      <c r="P30" s="99">
        <f>P46</f>
        <v>3880.9</v>
      </c>
      <c r="Q30" s="169">
        <v>250962</v>
      </c>
      <c r="R30" s="168" t="s">
        <v>4665</v>
      </c>
      <c r="S30" s="198">
        <f>S29-10</f>
        <v>70</v>
      </c>
      <c r="T30" s="168" t="s">
        <v>4666</v>
      </c>
      <c r="U30" s="168">
        <v>5315.5</v>
      </c>
      <c r="V30" s="168">
        <f t="shared" si="6"/>
        <v>5660.4686684931521</v>
      </c>
      <c r="W30" s="32">
        <f t="shared" si="7"/>
        <v>5773.6780418630151</v>
      </c>
      <c r="X30" s="32">
        <f t="shared" si="8"/>
        <v>5886.8874152328781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4410</v>
      </c>
      <c r="N31" s="113">
        <f t="shared" si="13"/>
        <v>655032.60000000009</v>
      </c>
      <c r="O31" s="69">
        <v>963</v>
      </c>
      <c r="P31" s="99">
        <f>P51</f>
        <v>680.2</v>
      </c>
      <c r="Q31" s="169">
        <v>350718</v>
      </c>
      <c r="R31" s="215" t="s">
        <v>4715</v>
      </c>
      <c r="S31" s="198">
        <f>S30-7</f>
        <v>63</v>
      </c>
      <c r="T31" s="215" t="s">
        <v>4716</v>
      </c>
      <c r="U31" s="215">
        <v>502.3</v>
      </c>
      <c r="V31" s="215">
        <f t="shared" si="6"/>
        <v>532.20129972602751</v>
      </c>
      <c r="W31" s="32">
        <f t="shared" si="7"/>
        <v>542.84532572054809</v>
      </c>
      <c r="X31" s="32">
        <f t="shared" si="8"/>
        <v>553.48935171506866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4538</v>
      </c>
      <c r="N32" s="113">
        <f t="shared" si="13"/>
        <v>666637.5</v>
      </c>
      <c r="O32" s="69">
        <v>145</v>
      </c>
      <c r="P32" s="99">
        <f>P52</f>
        <v>4597.5</v>
      </c>
      <c r="Q32" s="169">
        <v>17953742</v>
      </c>
      <c r="R32" s="215" t="s">
        <v>3684</v>
      </c>
      <c r="S32" s="198">
        <f>S31-15</f>
        <v>48</v>
      </c>
      <c r="T32" s="215" t="s">
        <v>4764</v>
      </c>
      <c r="U32" s="215">
        <v>486.4</v>
      </c>
      <c r="V32" s="215">
        <f t="shared" si="6"/>
        <v>509.75786082191786</v>
      </c>
      <c r="W32" s="32">
        <f t="shared" si="7"/>
        <v>519.95301803835628</v>
      </c>
      <c r="X32" s="32">
        <f t="shared" si="8"/>
        <v>530.14817525479464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 t="shared" si="13"/>
        <v>25952713.5</v>
      </c>
      <c r="O33" s="69">
        <v>125679</v>
      </c>
      <c r="P33" s="99">
        <f>P58</f>
        <v>206.5</v>
      </c>
      <c r="Q33" s="169">
        <v>9566181</v>
      </c>
      <c r="R33" s="215" t="s">
        <v>4765</v>
      </c>
      <c r="S33" s="198">
        <f>S32-1</f>
        <v>47</v>
      </c>
      <c r="T33" s="215" t="s">
        <v>4766</v>
      </c>
      <c r="U33" s="215">
        <v>476.1</v>
      </c>
      <c r="V33" s="215">
        <f t="shared" si="6"/>
        <v>498.59800767123301</v>
      </c>
      <c r="W33" s="32">
        <f t="shared" si="7"/>
        <v>508.56996782465768</v>
      </c>
      <c r="X33" s="32">
        <f t="shared" si="8"/>
        <v>518.5419279780823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5" t="s">
        <v>4765</v>
      </c>
      <c r="S34" s="198">
        <f>S33</f>
        <v>47</v>
      </c>
      <c r="T34" s="215" t="s">
        <v>4767</v>
      </c>
      <c r="U34" s="215">
        <v>3095</v>
      </c>
      <c r="V34" s="215">
        <f t="shared" si="6"/>
        <v>3241.2535890410963</v>
      </c>
      <c r="W34" s="32">
        <f t="shared" ref="W34:W54" si="14">V34*(1+$W$19/100)</f>
        <v>3306.0786608219182</v>
      </c>
      <c r="X34" s="32">
        <f t="shared" ref="X34:X54" si="15">V34*(1+$X$19/100)</f>
        <v>3370.9037326027401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5" t="s">
        <v>4765</v>
      </c>
      <c r="S35" s="198">
        <f>S34</f>
        <v>47</v>
      </c>
      <c r="T35" s="215" t="s">
        <v>4768</v>
      </c>
      <c r="U35" s="215">
        <v>168.8</v>
      </c>
      <c r="V35" s="215">
        <f t="shared" si="6"/>
        <v>176.77660931506853</v>
      </c>
      <c r="W35" s="32">
        <f t="shared" si="14"/>
        <v>180.31214150136989</v>
      </c>
      <c r="X35" s="32">
        <f t="shared" si="15"/>
        <v>183.84767368767126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-S176</f>
        <v>-520273651.7334528</v>
      </c>
      <c r="O36" s="96" t="s">
        <v>25</v>
      </c>
      <c r="P36" s="96" t="s">
        <v>25</v>
      </c>
      <c r="Q36" s="169">
        <v>5021554</v>
      </c>
      <c r="R36" s="215" t="s">
        <v>4765</v>
      </c>
      <c r="S36" s="198">
        <f>S35</f>
        <v>47</v>
      </c>
      <c r="T36" s="215" t="s">
        <v>4769</v>
      </c>
      <c r="U36" s="215">
        <v>3859.8</v>
      </c>
      <c r="V36" s="215">
        <f t="shared" si="6"/>
        <v>4042.1940558904121</v>
      </c>
      <c r="W36" s="32">
        <f t="shared" si="14"/>
        <v>4123.0379370082201</v>
      </c>
      <c r="X36" s="32">
        <f t="shared" si="15"/>
        <v>4203.8818181260285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5" t="s">
        <v>4775</v>
      </c>
      <c r="S37" s="198">
        <f>S36-1</f>
        <v>46</v>
      </c>
      <c r="T37" s="215" t="s">
        <v>4778</v>
      </c>
      <c r="U37" s="215">
        <v>3099.2</v>
      </c>
      <c r="V37" s="215">
        <f t="shared" si="6"/>
        <v>3243.2745906849314</v>
      </c>
      <c r="W37" s="32">
        <f t="shared" si="14"/>
        <v>3308.1400824986299</v>
      </c>
      <c r="X37" s="32">
        <f t="shared" si="15"/>
        <v>3373.0055743123289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فیزیکی'!M48*10*P59</f>
        <v>0</v>
      </c>
      <c r="M38" s="168" t="s">
        <v>760</v>
      </c>
      <c r="N38" s="113">
        <v>1200000</v>
      </c>
      <c r="O38" t="s">
        <v>25</v>
      </c>
      <c r="P38" t="s">
        <v>25</v>
      </c>
      <c r="Q38" s="169">
        <v>13402013</v>
      </c>
      <c r="R38" s="215" t="s">
        <v>4775</v>
      </c>
      <c r="S38" s="198">
        <f>S37</f>
        <v>46</v>
      </c>
      <c r="T38" s="215" t="s">
        <v>4779</v>
      </c>
      <c r="U38" s="215">
        <v>3853.3</v>
      </c>
      <c r="V38" s="215">
        <f t="shared" si="6"/>
        <v>4032.4309435616442</v>
      </c>
      <c r="W38" s="32">
        <f t="shared" si="14"/>
        <v>4113.0795624328775</v>
      </c>
      <c r="X38" s="32">
        <f t="shared" si="15"/>
        <v>4193.72818130411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4829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5" t="s">
        <v>4784</v>
      </c>
      <c r="S39" s="198">
        <f>S38-1</f>
        <v>45</v>
      </c>
      <c r="T39" s="215" t="s">
        <v>4785</v>
      </c>
      <c r="U39" s="215">
        <v>3130</v>
      </c>
      <c r="V39" s="215">
        <f t="shared" si="6"/>
        <v>3273.1053150684938</v>
      </c>
      <c r="W39" s="32">
        <f t="shared" si="14"/>
        <v>3338.567421369864</v>
      </c>
      <c r="X39" s="32">
        <f t="shared" si="15"/>
        <v>3404.0295276712336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فیزیکی'!M47+3)*10*P59</f>
        <v>15000000</v>
      </c>
      <c r="O40" s="96"/>
      <c r="P40" s="96" t="s">
        <v>25</v>
      </c>
      <c r="Q40" s="169">
        <v>3377001</v>
      </c>
      <c r="R40" s="215" t="s">
        <v>4793</v>
      </c>
      <c r="S40" s="198">
        <f>S39-4</f>
        <v>41</v>
      </c>
      <c r="T40" s="215" t="s">
        <v>4799</v>
      </c>
      <c r="U40" s="215">
        <v>3324.8</v>
      </c>
      <c r="V40" s="215">
        <f t="shared" si="6"/>
        <v>3466.6095517808221</v>
      </c>
      <c r="W40" s="32">
        <f t="shared" si="14"/>
        <v>3535.9417428164388</v>
      </c>
      <c r="X40" s="32">
        <f t="shared" si="15"/>
        <v>3605.2739338520551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16.5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4828</v>
      </c>
      <c r="N41" s="113">
        <v>-18000000</v>
      </c>
      <c r="O41" s="247"/>
      <c r="P41" s="114"/>
      <c r="Q41" s="169">
        <v>63610880</v>
      </c>
      <c r="R41" s="215" t="s">
        <v>4793</v>
      </c>
      <c r="S41" s="198">
        <f>S40</f>
        <v>41</v>
      </c>
      <c r="T41" s="215" t="s">
        <v>4797</v>
      </c>
      <c r="U41" s="215">
        <v>4176.3</v>
      </c>
      <c r="V41" s="215">
        <f t="shared" si="6"/>
        <v>4354.4277764383569</v>
      </c>
      <c r="W41" s="32">
        <f t="shared" si="14"/>
        <v>4441.5163319671237</v>
      </c>
      <c r="X41" s="32">
        <f t="shared" si="15"/>
        <v>4528.6048874958915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4830</v>
      </c>
      <c r="N42" s="113">
        <v>-47000000</v>
      </c>
      <c r="O42" s="96"/>
      <c r="P42" s="96" t="s">
        <v>25</v>
      </c>
      <c r="Q42" s="169">
        <v>15499033</v>
      </c>
      <c r="R42" s="215" t="s">
        <v>4793</v>
      </c>
      <c r="S42" s="198">
        <f>S41</f>
        <v>41</v>
      </c>
      <c r="T42" s="215" t="s">
        <v>4798</v>
      </c>
      <c r="U42" s="215">
        <v>525.1</v>
      </c>
      <c r="V42" s="215">
        <f t="shared" si="6"/>
        <v>547.4965939726028</v>
      </c>
      <c r="W42" s="32">
        <f t="shared" si="14"/>
        <v>558.44652585205483</v>
      </c>
      <c r="X42" s="32">
        <f t="shared" si="15"/>
        <v>569.39645773150687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 t="s">
        <v>5008</v>
      </c>
      <c r="L43" s="117">
        <v>-135000</v>
      </c>
      <c r="M43" s="168"/>
      <c r="N43" s="113"/>
      <c r="O43" s="96"/>
      <c r="P43" s="96" t="s">
        <v>25</v>
      </c>
      <c r="Q43" s="169">
        <v>30673673</v>
      </c>
      <c r="R43" s="215" t="s">
        <v>4803</v>
      </c>
      <c r="S43" s="198">
        <f>S42-1</f>
        <v>40</v>
      </c>
      <c r="T43" s="215" t="s">
        <v>4808</v>
      </c>
      <c r="U43" s="215">
        <v>529.79999999999995</v>
      </c>
      <c r="V43" s="215">
        <f t="shared" si="6"/>
        <v>551.99063671232875</v>
      </c>
      <c r="W43" s="32">
        <f t="shared" si="14"/>
        <v>563.03044944657529</v>
      </c>
      <c r="X43" s="32">
        <f t="shared" si="15"/>
        <v>574.07026218082194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4995</v>
      </c>
      <c r="L44" s="117">
        <v>-700000</v>
      </c>
      <c r="M44" s="168" t="s">
        <v>4459</v>
      </c>
      <c r="N44" s="113">
        <v>71</v>
      </c>
      <c r="P44" t="s">
        <v>25</v>
      </c>
      <c r="Q44" s="169">
        <v>5420397</v>
      </c>
      <c r="R44" s="215" t="s">
        <v>4803</v>
      </c>
      <c r="S44" s="198">
        <f>S43</f>
        <v>40</v>
      </c>
      <c r="T44" s="215" t="s">
        <v>4809</v>
      </c>
      <c r="U44" s="215">
        <v>5395.9</v>
      </c>
      <c r="V44" s="215">
        <f t="shared" si="6"/>
        <v>5621.9069019178087</v>
      </c>
      <c r="W44" s="32">
        <f t="shared" si="14"/>
        <v>5734.3450399561652</v>
      </c>
      <c r="X44" s="32">
        <f t="shared" si="15"/>
        <v>5846.7831779945209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/>
      <c r="L45" s="117"/>
      <c r="M45" s="168"/>
      <c r="N45" s="113"/>
      <c r="O45" s="99"/>
      <c r="P45" s="99"/>
      <c r="Q45" s="169">
        <v>38533873</v>
      </c>
      <c r="R45" s="215" t="s">
        <v>4803</v>
      </c>
      <c r="S45" s="198">
        <f>S44</f>
        <v>40</v>
      </c>
      <c r="T45" s="215" t="s">
        <v>4810</v>
      </c>
      <c r="U45" s="215">
        <v>3355.8</v>
      </c>
      <c r="V45" s="215">
        <f t="shared" si="6"/>
        <v>3496.3574531506856</v>
      </c>
      <c r="W45" s="32">
        <f t="shared" si="14"/>
        <v>3566.2846022136996</v>
      </c>
      <c r="X45" s="32">
        <f t="shared" si="15"/>
        <v>3636.2117512767131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/>
      <c r="L46" s="117"/>
      <c r="M46" s="206" t="s">
        <v>4391</v>
      </c>
      <c r="N46" s="113">
        <f>O46*P46</f>
        <v>124173276.40000001</v>
      </c>
      <c r="O46" s="99">
        <v>31996</v>
      </c>
      <c r="P46" s="99">
        <v>3880.9</v>
      </c>
      <c r="Q46" s="169">
        <v>1018599</v>
      </c>
      <c r="R46" s="215" t="s">
        <v>4906</v>
      </c>
      <c r="S46" s="198">
        <f>S45-19</f>
        <v>21</v>
      </c>
      <c r="T46" s="215" t="s">
        <v>4908</v>
      </c>
      <c r="U46" s="215">
        <v>4155.3</v>
      </c>
      <c r="V46" s="215">
        <f t="shared" si="6"/>
        <v>4268.7795353424663</v>
      </c>
      <c r="W46" s="32">
        <f t="shared" si="14"/>
        <v>4354.1551260493161</v>
      </c>
      <c r="X46" s="32">
        <f t="shared" si="15"/>
        <v>4439.530716756165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4583</v>
      </c>
      <c r="N47" s="117">
        <f t="shared" ref="N47:N59" si="16">O47*P47</f>
        <v>965400</v>
      </c>
      <c r="O47" s="69">
        <v>2000</v>
      </c>
      <c r="P47" s="69">
        <v>482.7</v>
      </c>
      <c r="Q47" s="169">
        <v>1001132</v>
      </c>
      <c r="R47" s="215" t="s">
        <v>4906</v>
      </c>
      <c r="S47" s="198">
        <f>S46</f>
        <v>21</v>
      </c>
      <c r="T47" s="215" t="s">
        <v>4909</v>
      </c>
      <c r="U47" s="215">
        <v>113.1</v>
      </c>
      <c r="V47" s="215">
        <f t="shared" si="6"/>
        <v>116.18871452054795</v>
      </c>
      <c r="W47" s="32">
        <f t="shared" si="14"/>
        <v>118.51248881095891</v>
      </c>
      <c r="X47" s="32">
        <f t="shared" si="15"/>
        <v>120.83626310136987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4539</v>
      </c>
      <c r="N48" s="117">
        <f t="shared" si="16"/>
        <v>121656</v>
      </c>
      <c r="O48" s="69">
        <v>888</v>
      </c>
      <c r="P48" s="69">
        <v>137</v>
      </c>
      <c r="Q48" s="169">
        <v>5809833</v>
      </c>
      <c r="R48" s="215" t="s">
        <v>4925</v>
      </c>
      <c r="S48" s="198">
        <f>S47-2</f>
        <v>19</v>
      </c>
      <c r="T48" s="215" t="s">
        <v>4929</v>
      </c>
      <c r="U48" s="215">
        <v>587.29999999999995</v>
      </c>
      <c r="V48" s="215">
        <f t="shared" si="6"/>
        <v>602.43785863013693</v>
      </c>
      <c r="W48" s="32">
        <f t="shared" si="14"/>
        <v>614.48661580273972</v>
      </c>
      <c r="X48" s="32">
        <f t="shared" si="15"/>
        <v>626.5353729753424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4569</v>
      </c>
      <c r="N49" s="117">
        <f t="shared" si="16"/>
        <v>62275</v>
      </c>
      <c r="O49" s="69">
        <v>50</v>
      </c>
      <c r="P49" s="69">
        <v>1245.5</v>
      </c>
      <c r="Q49" s="169">
        <v>22263826</v>
      </c>
      <c r="R49" s="215" t="s">
        <v>4925</v>
      </c>
      <c r="S49" s="198">
        <f>S48</f>
        <v>19</v>
      </c>
      <c r="T49" s="215" t="s">
        <v>4930</v>
      </c>
      <c r="U49" s="215">
        <v>3560</v>
      </c>
      <c r="V49" s="215">
        <f t="shared" si="6"/>
        <v>3651.760219178082</v>
      </c>
      <c r="W49" s="32">
        <f t="shared" si="14"/>
        <v>3724.7954235616439</v>
      </c>
      <c r="X49" s="32">
        <f t="shared" si="15"/>
        <v>3797.8306279452054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19" t="s">
        <v>4395</v>
      </c>
      <c r="N50" s="113">
        <f t="shared" si="16"/>
        <v>210602615.59999999</v>
      </c>
      <c r="O50" s="69">
        <v>33238</v>
      </c>
      <c r="P50" s="69">
        <v>6336.2</v>
      </c>
      <c r="Q50" s="169">
        <v>112288</v>
      </c>
      <c r="R50" s="215" t="s">
        <v>981</v>
      </c>
      <c r="S50" s="198">
        <f>S49-1</f>
        <v>18</v>
      </c>
      <c r="T50" s="215" t="s">
        <v>4933</v>
      </c>
      <c r="U50" s="215">
        <v>3605.5</v>
      </c>
      <c r="V50" s="215">
        <f t="shared" si="6"/>
        <v>3695.6671342465756</v>
      </c>
      <c r="W50" s="32">
        <f t="shared" si="14"/>
        <v>3769.5804769315073</v>
      </c>
      <c r="X50" s="32">
        <f t="shared" si="15"/>
        <v>3843.4938196164389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6"/>
        <v>72669167</v>
      </c>
      <c r="O51" s="69">
        <v>106835</v>
      </c>
      <c r="P51" s="69">
        <v>680.2</v>
      </c>
      <c r="Q51" s="169">
        <v>931614</v>
      </c>
      <c r="R51" s="215" t="s">
        <v>4939</v>
      </c>
      <c r="S51" s="198">
        <f>S50-8</f>
        <v>10</v>
      </c>
      <c r="T51" s="215" t="s">
        <v>4941</v>
      </c>
      <c r="U51" s="215">
        <v>4437</v>
      </c>
      <c r="V51" s="215">
        <f t="shared" si="6"/>
        <v>4520.7316602739729</v>
      </c>
      <c r="W51" s="32">
        <f t="shared" si="14"/>
        <v>4611.1462934794527</v>
      </c>
      <c r="X51" s="32">
        <f t="shared" si="15"/>
        <v>4701.5609266849324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4538</v>
      </c>
      <c r="N52" s="117">
        <f t="shared" si="16"/>
        <v>37607550</v>
      </c>
      <c r="O52" s="69">
        <v>8180</v>
      </c>
      <c r="P52" s="69">
        <v>4597.5</v>
      </c>
      <c r="Q52" s="169">
        <v>533965</v>
      </c>
      <c r="R52" s="215" t="s">
        <v>4984</v>
      </c>
      <c r="S52" s="198">
        <f>S51-12</f>
        <v>-2</v>
      </c>
      <c r="T52" s="215" t="s">
        <v>4985</v>
      </c>
      <c r="U52" s="215">
        <v>4429.2</v>
      </c>
      <c r="V52" s="215">
        <f t="shared" si="6"/>
        <v>4472.0115550684932</v>
      </c>
      <c r="W52" s="32">
        <f t="shared" si="14"/>
        <v>4561.4517861698632</v>
      </c>
      <c r="X52" s="32">
        <f t="shared" si="15"/>
        <v>4650.8920172712333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4537</v>
      </c>
      <c r="N53" s="117">
        <f t="shared" si="16"/>
        <v>16682459.699999999</v>
      </c>
      <c r="O53" s="69">
        <v>2913</v>
      </c>
      <c r="P53" s="69">
        <v>5726.9</v>
      </c>
      <c r="Q53" s="169">
        <v>164707</v>
      </c>
      <c r="R53" s="215" t="s">
        <v>5000</v>
      </c>
      <c r="S53" s="198">
        <f>S52-6</f>
        <v>-8</v>
      </c>
      <c r="T53" s="215" t="s">
        <v>5001</v>
      </c>
      <c r="U53" s="215">
        <v>633</v>
      </c>
      <c r="V53" s="215">
        <f t="shared" si="6"/>
        <v>636.204887671233</v>
      </c>
      <c r="W53" s="32">
        <f t="shared" si="14"/>
        <v>648.92898542465764</v>
      </c>
      <c r="X53" s="32">
        <f t="shared" si="15"/>
        <v>661.65308317808228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4614</v>
      </c>
      <c r="N54" s="117">
        <f t="shared" si="16"/>
        <v>4692510</v>
      </c>
      <c r="O54" s="69">
        <v>5100</v>
      </c>
      <c r="P54" s="69">
        <v>920.1</v>
      </c>
      <c r="Q54" s="169"/>
      <c r="R54" s="168"/>
      <c r="S54" s="168"/>
      <c r="T54" s="168"/>
      <c r="U54" s="168"/>
      <c r="V54" s="215">
        <f t="shared" si="6"/>
        <v>0</v>
      </c>
      <c r="W54" s="32">
        <f t="shared" si="14"/>
        <v>0</v>
      </c>
      <c r="X54" s="32">
        <f t="shared" si="15"/>
        <v>0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4296</v>
      </c>
      <c r="N55" s="117">
        <f>O55*P55</f>
        <v>2510523.6</v>
      </c>
      <c r="O55" s="69">
        <v>6997</v>
      </c>
      <c r="P55" s="69">
        <v>358.8</v>
      </c>
      <c r="Q55" s="169">
        <f>SUM(N21:N26)-SUM(Q20:Q54)</f>
        <v>51946583.700000048</v>
      </c>
      <c r="R55" s="168"/>
      <c r="S55" s="168" t="s">
        <v>25</v>
      </c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4587</v>
      </c>
      <c r="N56" s="113">
        <f t="shared" si="16"/>
        <v>256463.2</v>
      </c>
      <c r="O56" s="69">
        <v>1148</v>
      </c>
      <c r="P56" s="69">
        <v>223.4</v>
      </c>
      <c r="R56" s="115"/>
      <c r="S56" s="115" t="s">
        <v>25</v>
      </c>
      <c r="T56" s="115"/>
      <c r="U56" s="115"/>
      <c r="V56" s="115"/>
      <c r="W56" s="195"/>
      <c r="X56" s="195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21" t="s">
        <v>4630</v>
      </c>
      <c r="N57" s="117">
        <f t="shared" si="16"/>
        <v>1469050.0000000002</v>
      </c>
      <c r="O57" s="69">
        <v>5500</v>
      </c>
      <c r="P57" s="69">
        <v>267.10000000000002</v>
      </c>
      <c r="Q57" s="96"/>
      <c r="R57" s="115"/>
      <c r="S57" s="115"/>
      <c r="T57" s="115" t="s">
        <v>25</v>
      </c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56"/>
      <c r="L58" s="117"/>
      <c r="M58" s="19" t="s">
        <v>4179</v>
      </c>
      <c r="N58" s="113">
        <f t="shared" si="16"/>
        <v>266465535</v>
      </c>
      <c r="O58" s="99">
        <v>1290390</v>
      </c>
      <c r="P58" s="99">
        <v>206.5</v>
      </c>
      <c r="Q58" s="168" t="s">
        <v>657</v>
      </c>
      <c r="R58" s="168"/>
      <c r="S58" s="168"/>
      <c r="T58" s="168"/>
      <c r="U58" s="168"/>
      <c r="V58" s="168"/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0</v>
      </c>
      <c r="O59" s="69">
        <v>0</v>
      </c>
      <c r="P59" s="69">
        <v>500000</v>
      </c>
      <c r="Q59" s="168" t="s">
        <v>267</v>
      </c>
      <c r="R59" s="168" t="s">
        <v>180</v>
      </c>
      <c r="S59" s="168" t="s">
        <v>183</v>
      </c>
      <c r="T59" s="168" t="s">
        <v>8</v>
      </c>
      <c r="U59" s="168" t="s">
        <v>4363</v>
      </c>
      <c r="V59" s="73" t="s">
        <v>4365</v>
      </c>
      <c r="W59" s="32">
        <v>2</v>
      </c>
      <c r="X59" s="32">
        <v>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68">
        <v>0</v>
      </c>
      <c r="R60" s="168" t="s">
        <v>4172</v>
      </c>
      <c r="S60" s="168">
        <f>S88</f>
        <v>195</v>
      </c>
      <c r="T60" s="168"/>
      <c r="U60" s="168"/>
      <c r="V60" s="73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168" t="s">
        <v>1152</v>
      </c>
      <c r="N61" s="117">
        <v>14908</v>
      </c>
      <c r="O61" s="96"/>
      <c r="P61" t="s">
        <v>25</v>
      </c>
      <c r="Q61" s="169">
        <v>863944</v>
      </c>
      <c r="R61" s="168" t="s">
        <v>4438</v>
      </c>
      <c r="S61" s="168">
        <f>S60-62</f>
        <v>133</v>
      </c>
      <c r="T61" s="191" t="s">
        <v>4510</v>
      </c>
      <c r="U61" s="168">
        <v>184.6</v>
      </c>
      <c r="V61" s="168">
        <f t="shared" ref="V61:V79" si="17">U61*(1+$N$90+$Q$15*S61/36500)</f>
        <v>205.50177753424657</v>
      </c>
      <c r="W61" s="32">
        <f t="shared" ref="W61:W79" si="18">V61*(1+$W$19/100)</f>
        <v>209.6118130849315</v>
      </c>
      <c r="X61" s="32">
        <f t="shared" ref="X61:X79" si="19">V61*(1+$X$19/100)</f>
        <v>213.72184863561645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99"/>
      <c r="M62" s="168" t="s">
        <v>1153</v>
      </c>
      <c r="N62" s="117">
        <v>5282</v>
      </c>
      <c r="O62" s="96"/>
      <c r="P62" t="s">
        <v>25</v>
      </c>
      <c r="Q62" s="169">
        <v>1692313</v>
      </c>
      <c r="R62" s="168" t="s">
        <v>4513</v>
      </c>
      <c r="S62" s="198">
        <f>S61-21</f>
        <v>112</v>
      </c>
      <c r="T62" s="190" t="s">
        <v>4514</v>
      </c>
      <c r="U62" s="168">
        <v>168.5</v>
      </c>
      <c r="V62" s="168">
        <f t="shared" si="17"/>
        <v>184.86435068493151</v>
      </c>
      <c r="W62" s="32">
        <f t="shared" si="18"/>
        <v>188.56163769863014</v>
      </c>
      <c r="X62" s="32">
        <f t="shared" si="19"/>
        <v>192.25892471232876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/>
      <c r="L63" s="117"/>
      <c r="M63" s="168"/>
      <c r="N63" s="113"/>
      <c r="O63" s="115"/>
      <c r="P63" s="115"/>
      <c r="Q63" s="169">
        <v>101153</v>
      </c>
      <c r="R63" s="168" t="s">
        <v>4516</v>
      </c>
      <c r="S63" s="198">
        <f>S62-1</f>
        <v>111</v>
      </c>
      <c r="T63" s="190" t="s">
        <v>4518</v>
      </c>
      <c r="U63" s="168">
        <v>166.7</v>
      </c>
      <c r="V63" s="168">
        <f t="shared" si="17"/>
        <v>182.7616591780822</v>
      </c>
      <c r="W63" s="32">
        <f t="shared" si="18"/>
        <v>186.41689236164385</v>
      </c>
      <c r="X63" s="32">
        <f t="shared" si="19"/>
        <v>190.07212554520549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168" t="s">
        <v>25</v>
      </c>
      <c r="L64" s="117"/>
      <c r="M64" s="168" t="s">
        <v>4180</v>
      </c>
      <c r="N64" s="113">
        <f>-O64*P64</f>
        <v>-11087811</v>
      </c>
      <c r="O64" s="99">
        <v>53694</v>
      </c>
      <c r="P64" s="99">
        <f>P58</f>
        <v>206.5</v>
      </c>
      <c r="Q64" s="169">
        <v>183105</v>
      </c>
      <c r="R64" s="168" t="s">
        <v>4231</v>
      </c>
      <c r="S64" s="198">
        <f>S63-1</f>
        <v>110</v>
      </c>
      <c r="T64" s="190" t="s">
        <v>4522</v>
      </c>
      <c r="U64" s="168">
        <v>166.6</v>
      </c>
      <c r="V64" s="168">
        <f t="shared" si="17"/>
        <v>182.524221369863</v>
      </c>
      <c r="W64" s="32">
        <f t="shared" si="18"/>
        <v>186.17470579726026</v>
      </c>
      <c r="X64" s="32">
        <f t="shared" si="19"/>
        <v>189.82519022465752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168"/>
      <c r="L65" s="117"/>
      <c r="M65" s="168"/>
      <c r="N65" s="113"/>
      <c r="Q65" s="169">
        <v>168846</v>
      </c>
      <c r="R65" s="168" t="s">
        <v>3691</v>
      </c>
      <c r="S65" s="198">
        <f>S64-30</f>
        <v>80</v>
      </c>
      <c r="T65" s="190" t="s">
        <v>4622</v>
      </c>
      <c r="U65" s="168">
        <v>172.2</v>
      </c>
      <c r="V65" s="168">
        <f t="shared" si="17"/>
        <v>184.69653041095893</v>
      </c>
      <c r="W65" s="32">
        <f t="shared" si="18"/>
        <v>188.3904610191781</v>
      </c>
      <c r="X65" s="32">
        <f t="shared" si="19"/>
        <v>192.08439162739728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/>
      <c r="N66" s="113"/>
      <c r="Q66" s="169">
        <v>250962</v>
      </c>
      <c r="R66" s="168" t="s">
        <v>4665</v>
      </c>
      <c r="S66" s="198">
        <f>S65-10</f>
        <v>70</v>
      </c>
      <c r="T66" s="190" t="s">
        <v>4666</v>
      </c>
      <c r="U66" s="168">
        <v>5315.5</v>
      </c>
      <c r="V66" s="168">
        <f t="shared" si="17"/>
        <v>5660.4686684931521</v>
      </c>
      <c r="W66" s="32">
        <f t="shared" si="18"/>
        <v>5773.6780418630151</v>
      </c>
      <c r="X66" s="32">
        <f t="shared" si="19"/>
        <v>5886.8874152328781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4446</v>
      </c>
      <c r="N67" s="113">
        <f>-S177</f>
        <v>-14872414.913255701</v>
      </c>
      <c r="Q67" s="169">
        <v>352231</v>
      </c>
      <c r="R67" s="215" t="s">
        <v>4715</v>
      </c>
      <c r="S67" s="198">
        <f>S66-7</f>
        <v>63</v>
      </c>
      <c r="T67" s="190" t="s">
        <v>4717</v>
      </c>
      <c r="U67" s="215">
        <v>502.3</v>
      </c>
      <c r="V67" s="215">
        <f t="shared" si="17"/>
        <v>532.20129972602751</v>
      </c>
      <c r="W67" s="32">
        <f t="shared" si="18"/>
        <v>542.84532572054809</v>
      </c>
      <c r="X67" s="32">
        <f t="shared" si="19"/>
        <v>553.48935171506866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 t="s">
        <v>4739</v>
      </c>
      <c r="N68" s="113">
        <f>50*P59</f>
        <v>25000000</v>
      </c>
      <c r="P68" t="s">
        <v>25</v>
      </c>
      <c r="Q68" s="169">
        <v>165067</v>
      </c>
      <c r="R68" s="215" t="s">
        <v>4765</v>
      </c>
      <c r="S68" s="198">
        <f>S67-16</f>
        <v>47</v>
      </c>
      <c r="T68" s="190" t="s">
        <v>4773</v>
      </c>
      <c r="U68" s="215">
        <v>3095.9</v>
      </c>
      <c r="V68" s="215">
        <f t="shared" si="17"/>
        <v>3242.1961183561652</v>
      </c>
      <c r="W68" s="32">
        <f t="shared" si="18"/>
        <v>3307.0400407232887</v>
      </c>
      <c r="X68" s="32">
        <f t="shared" si="19"/>
        <v>3371.8839630904122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P69" t="s">
        <v>25</v>
      </c>
      <c r="Q69" s="169">
        <v>62110</v>
      </c>
      <c r="R69" s="215" t="s">
        <v>4906</v>
      </c>
      <c r="S69" s="198">
        <f>S68-26</f>
        <v>21</v>
      </c>
      <c r="T69" s="190" t="s">
        <v>4910</v>
      </c>
      <c r="U69" s="215">
        <v>270</v>
      </c>
      <c r="V69" s="215">
        <f t="shared" si="17"/>
        <v>277.3735890410959</v>
      </c>
      <c r="W69" s="32">
        <f t="shared" si="18"/>
        <v>282.92106082191782</v>
      </c>
      <c r="X69" s="32">
        <f t="shared" si="19"/>
        <v>288.46853260273974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 t="s">
        <v>598</v>
      </c>
      <c r="L70" s="113">
        <f>SUM(L16:L54)</f>
        <v>476210025.7334528</v>
      </c>
      <c r="M70" s="168"/>
      <c r="N70" s="113">
        <f>SUM(N16:N69)</f>
        <v>538564944.65329158</v>
      </c>
      <c r="Q70" s="169">
        <v>48217</v>
      </c>
      <c r="R70" s="215" t="s">
        <v>4925</v>
      </c>
      <c r="S70" s="198">
        <f>S69-2</f>
        <v>19</v>
      </c>
      <c r="T70" s="190" t="s">
        <v>4931</v>
      </c>
      <c r="U70" s="215">
        <v>400</v>
      </c>
      <c r="V70" s="215">
        <f t="shared" si="17"/>
        <v>410.31013698630136</v>
      </c>
      <c r="W70" s="32">
        <f t="shared" si="18"/>
        <v>418.51633972602741</v>
      </c>
      <c r="X70" s="32">
        <f t="shared" si="19"/>
        <v>426.72254246575341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168" t="s">
        <v>599</v>
      </c>
      <c r="L71" s="113">
        <f>L16+L17+L26</f>
        <v>621510</v>
      </c>
      <c r="M71" s="168"/>
      <c r="N71" s="113">
        <f>N16+N17+N37</f>
        <v>641053</v>
      </c>
      <c r="Q71" s="169">
        <v>115911</v>
      </c>
      <c r="R71" s="215" t="s">
        <v>981</v>
      </c>
      <c r="S71" s="198">
        <f>S70-1</f>
        <v>18</v>
      </c>
      <c r="T71" s="190" t="s">
        <v>4934</v>
      </c>
      <c r="U71" s="215">
        <v>3605.5</v>
      </c>
      <c r="V71" s="215">
        <f t="shared" si="17"/>
        <v>3695.6671342465756</v>
      </c>
      <c r="W71" s="32">
        <f t="shared" si="18"/>
        <v>3769.5804769315073</v>
      </c>
      <c r="X71" s="32">
        <f t="shared" si="19"/>
        <v>3843.4938196164389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K72" s="56" t="s">
        <v>716</v>
      </c>
      <c r="L72" s="1">
        <f>L70+N7</f>
        <v>546210025.7334528</v>
      </c>
      <c r="M72" s="113"/>
      <c r="N72" s="168"/>
      <c r="O72" s="115"/>
      <c r="P72" s="115"/>
      <c r="Q72" s="169">
        <v>102339</v>
      </c>
      <c r="R72" s="215" t="s">
        <v>4939</v>
      </c>
      <c r="S72" s="198">
        <f>S71-8</f>
        <v>10</v>
      </c>
      <c r="T72" s="190" t="s">
        <v>4940</v>
      </c>
      <c r="U72" s="215">
        <v>4429</v>
      </c>
      <c r="V72" s="215">
        <f t="shared" si="17"/>
        <v>4512.5806904109595</v>
      </c>
      <c r="W72" s="32">
        <f t="shared" si="18"/>
        <v>4602.8323042191787</v>
      </c>
      <c r="X72" s="32">
        <f t="shared" si="19"/>
        <v>4693.0839180273979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O73" s="96"/>
      <c r="P73" s="96"/>
      <c r="Q73" s="169">
        <v>3792615</v>
      </c>
      <c r="R73" s="5" t="s">
        <v>4955</v>
      </c>
      <c r="S73" s="198">
        <f>S72-4</f>
        <v>6</v>
      </c>
      <c r="T73" s="190" t="s">
        <v>4958</v>
      </c>
      <c r="U73" s="215">
        <v>3775.1</v>
      </c>
      <c r="V73" s="215">
        <f t="shared" si="17"/>
        <v>3834.7569227397262</v>
      </c>
      <c r="W73" s="32">
        <f t="shared" si="18"/>
        <v>3911.4520611945209</v>
      </c>
      <c r="X73" s="32">
        <f t="shared" si="19"/>
        <v>3988.1471996493156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M74" s="25"/>
      <c r="O74" t="s">
        <v>25</v>
      </c>
      <c r="Q74" s="169">
        <v>6278475</v>
      </c>
      <c r="R74" s="5" t="s">
        <v>4955</v>
      </c>
      <c r="S74" s="198">
        <f>S73</f>
        <v>6</v>
      </c>
      <c r="T74" s="190" t="s">
        <v>4959</v>
      </c>
      <c r="U74" s="215">
        <v>6250.1</v>
      </c>
      <c r="V74" s="215">
        <f t="shared" si="17"/>
        <v>6348.868703561644</v>
      </c>
      <c r="W74" s="32">
        <f t="shared" si="18"/>
        <v>6475.8460776328766</v>
      </c>
      <c r="X74" s="32">
        <f t="shared" si="19"/>
        <v>6602.8234517041101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M75" s="25" t="s">
        <v>4080</v>
      </c>
      <c r="N75" s="99" t="s">
        <v>452</v>
      </c>
      <c r="O75" s="113">
        <f>O58*25</f>
        <v>32259750</v>
      </c>
      <c r="P75" s="115"/>
      <c r="Q75" s="169">
        <v>13517</v>
      </c>
      <c r="R75" s="5" t="s">
        <v>4955</v>
      </c>
      <c r="S75" s="198">
        <f>S74</f>
        <v>6</v>
      </c>
      <c r="T75" s="190" t="s">
        <v>4960</v>
      </c>
      <c r="U75" s="215">
        <v>4485.1000000000004</v>
      </c>
      <c r="V75" s="215">
        <f t="shared" si="17"/>
        <v>4555.9768679452063</v>
      </c>
      <c r="W75" s="32">
        <f t="shared" si="18"/>
        <v>4647.0964053041107</v>
      </c>
      <c r="X75" s="32">
        <f t="shared" si="19"/>
        <v>4738.2159426630151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177"/>
      <c r="N76" s="99" t="s">
        <v>1087</v>
      </c>
      <c r="O76" s="113">
        <f>O33*25</f>
        <v>3141975</v>
      </c>
      <c r="P76" s="115"/>
      <c r="Q76" s="169">
        <v>19918023</v>
      </c>
      <c r="R76" s="5" t="s">
        <v>4955</v>
      </c>
      <c r="S76" s="198">
        <f>S75</f>
        <v>6</v>
      </c>
      <c r="T76" s="190" t="s">
        <v>4961</v>
      </c>
      <c r="U76" s="215">
        <v>183</v>
      </c>
      <c r="V76" s="215">
        <f t="shared" si="17"/>
        <v>185.89190136986301</v>
      </c>
      <c r="W76" s="32">
        <f t="shared" si="18"/>
        <v>189.60973939726026</v>
      </c>
      <c r="X76" s="32">
        <f t="shared" si="19"/>
        <v>193.32757742465753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96" t="s">
        <v>4868</v>
      </c>
      <c r="N77" s="99" t="s">
        <v>751</v>
      </c>
      <c r="O77" s="113">
        <f>O21*25</f>
        <v>2060725</v>
      </c>
      <c r="Q77" s="169">
        <v>529520</v>
      </c>
      <c r="R77" s="5" t="s">
        <v>4984</v>
      </c>
      <c r="S77" s="198">
        <f>S76-8</f>
        <v>-2</v>
      </c>
      <c r="T77" s="190" t="s">
        <v>4986</v>
      </c>
      <c r="U77" s="215">
        <v>4429.2</v>
      </c>
      <c r="V77" s="215">
        <f t="shared" si="17"/>
        <v>4472.0115550684932</v>
      </c>
      <c r="W77" s="32">
        <f t="shared" si="18"/>
        <v>4561.4517861698632</v>
      </c>
      <c r="X77" s="32">
        <f t="shared" si="19"/>
        <v>4650.8920172712333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122" t="s">
        <v>4411</v>
      </c>
      <c r="O78" s="114"/>
      <c r="Q78" s="169">
        <v>168390</v>
      </c>
      <c r="R78" s="19" t="s">
        <v>5000</v>
      </c>
      <c r="S78" s="198">
        <f>S77-6</f>
        <v>-8</v>
      </c>
      <c r="T78" s="190" t="s">
        <v>5002</v>
      </c>
      <c r="U78" s="215">
        <v>632.5</v>
      </c>
      <c r="V78" s="215">
        <f t="shared" si="17"/>
        <v>635.70235616438367</v>
      </c>
      <c r="W78" s="32">
        <f t="shared" si="18"/>
        <v>648.4164032876713</v>
      </c>
      <c r="X78" s="32">
        <f t="shared" si="19"/>
        <v>661.13045041095904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22" t="s">
        <v>4507</v>
      </c>
      <c r="N79" s="96"/>
      <c r="Q79" s="169"/>
      <c r="R79" s="168"/>
      <c r="S79" s="113"/>
      <c r="T79" s="113"/>
      <c r="U79" s="168"/>
      <c r="V79" s="168">
        <f t="shared" si="17"/>
        <v>0</v>
      </c>
      <c r="W79" s="32">
        <f t="shared" si="18"/>
        <v>0</v>
      </c>
      <c r="X79" s="32">
        <f t="shared" si="19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4577</v>
      </c>
      <c r="N80" s="96"/>
      <c r="P80" t="s">
        <v>25</v>
      </c>
      <c r="Q80" s="113">
        <f>SUM(N29:N33)-SUM(Q60:Q79)</f>
        <v>3521992.1000000015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 ht="45">
      <c r="D81" s="31" t="s">
        <v>308</v>
      </c>
      <c r="E81" s="1">
        <v>300000</v>
      </c>
      <c r="K81" s="214" t="s">
        <v>4789</v>
      </c>
      <c r="L81" s="22" t="s">
        <v>4755</v>
      </c>
      <c r="M81" s="208" t="s">
        <v>4730</v>
      </c>
      <c r="N81" s="96"/>
      <c r="P81" s="115"/>
      <c r="R81" s="115"/>
      <c r="S81" s="115"/>
      <c r="T81" s="115" t="s">
        <v>25</v>
      </c>
      <c r="U81" s="115"/>
      <c r="V81" s="115"/>
      <c r="W81" s="195" t="s">
        <v>25</v>
      </c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4790</v>
      </c>
      <c r="M82" s="122"/>
      <c r="N82" s="96"/>
      <c r="P82" s="115" t="s">
        <v>25</v>
      </c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4580</v>
      </c>
      <c r="L83" s="96"/>
      <c r="M83" s="122"/>
      <c r="O83" t="s">
        <v>25</v>
      </c>
      <c r="P83" s="115"/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K84" t="s">
        <v>4869</v>
      </c>
      <c r="M84" s="96">
        <f>O58+O21+O33-O64</f>
        <v>1444804</v>
      </c>
      <c r="N84" s="113">
        <f>M84*P58</f>
        <v>298352026</v>
      </c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4870</v>
      </c>
      <c r="M85" t="s">
        <v>4267</v>
      </c>
      <c r="P85" s="115"/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K86" t="s">
        <v>4871</v>
      </c>
      <c r="M86" t="s">
        <v>4582</v>
      </c>
      <c r="N86" t="s">
        <v>25</v>
      </c>
      <c r="P86" s="115"/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4540</v>
      </c>
      <c r="P87" s="115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4586</v>
      </c>
      <c r="M88" t="s">
        <v>949</v>
      </c>
      <c r="N88">
        <v>6.3E-3</v>
      </c>
      <c r="P88" s="115"/>
      <c r="Q88" s="35">
        <v>184971545</v>
      </c>
      <c r="R88" s="5" t="s">
        <v>4172</v>
      </c>
      <c r="S88" s="5">
        <v>195</v>
      </c>
      <c r="T88" s="5" t="s">
        <v>4346</v>
      </c>
      <c r="U88" s="168">
        <v>192</v>
      </c>
      <c r="V88" s="99">
        <f t="shared" ref="V88:V119" si="21">U88*(1+$N$90+$Q$15*S88/36500)</f>
        <v>222.87149589041098</v>
      </c>
      <c r="W88" s="32">
        <f t="shared" ref="W88:W109" si="22">V88*(1+$W$19/100)</f>
        <v>227.3289258082192</v>
      </c>
      <c r="X88" s="32">
        <f t="shared" ref="X88:X109" si="23">V88*(1+$X$19/100)</f>
        <v>231.78635572602744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4539</v>
      </c>
      <c r="M89" t="s">
        <v>61</v>
      </c>
      <c r="N89">
        <v>4.8999999999999998E-3</v>
      </c>
      <c r="P89" s="115"/>
      <c r="Q89" s="35">
        <v>9560464</v>
      </c>
      <c r="R89" s="5" t="s">
        <v>4299</v>
      </c>
      <c r="S89" s="5">
        <f>S88-31</f>
        <v>164</v>
      </c>
      <c r="T89" s="5" t="s">
        <v>4312</v>
      </c>
      <c r="U89" s="168">
        <v>214.57</v>
      </c>
      <c r="V89" s="99">
        <f t="shared" si="21"/>
        <v>243.96785358904111</v>
      </c>
      <c r="W89" s="32">
        <f t="shared" si="22"/>
        <v>248.84721066082193</v>
      </c>
      <c r="X89" s="32">
        <f t="shared" si="23"/>
        <v>253.72656773260277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s="22" t="s">
        <v>4243</v>
      </c>
      <c r="M90" t="s">
        <v>6</v>
      </c>
      <c r="N90">
        <f>N88+N89</f>
        <v>1.12E-2</v>
      </c>
      <c r="O90" t="s">
        <v>25</v>
      </c>
      <c r="P90" t="s">
        <v>25</v>
      </c>
      <c r="Q90" s="35">
        <v>2000000</v>
      </c>
      <c r="R90" s="5" t="s">
        <v>4342</v>
      </c>
      <c r="S90" s="5">
        <f>S89-11</f>
        <v>153</v>
      </c>
      <c r="T90" s="5" t="s">
        <v>4345</v>
      </c>
      <c r="U90" s="168">
        <v>206.8</v>
      </c>
      <c r="V90" s="99">
        <f t="shared" si="21"/>
        <v>233.3882476712329</v>
      </c>
      <c r="W90" s="32">
        <f t="shared" si="22"/>
        <v>238.05601262465757</v>
      </c>
      <c r="X90" s="32">
        <f t="shared" si="23"/>
        <v>242.72377757808223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4536</v>
      </c>
      <c r="Q91" s="35">
        <v>1429825</v>
      </c>
      <c r="R91" s="5" t="s">
        <v>4372</v>
      </c>
      <c r="S91" s="5">
        <f>S90-7</f>
        <v>146</v>
      </c>
      <c r="T91" s="5" t="s">
        <v>4381</v>
      </c>
      <c r="U91" s="168">
        <v>203.9</v>
      </c>
      <c r="V91" s="99">
        <f t="shared" si="21"/>
        <v>229.02048000000005</v>
      </c>
      <c r="W91" s="32">
        <f t="shared" si="22"/>
        <v>233.60088960000004</v>
      </c>
      <c r="X91" s="32">
        <f t="shared" si="23"/>
        <v>238.18129920000007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1420747</v>
      </c>
      <c r="R92" s="5" t="s">
        <v>4372</v>
      </c>
      <c r="S92" s="5">
        <f>S91</f>
        <v>146</v>
      </c>
      <c r="T92" s="5" t="s">
        <v>4383</v>
      </c>
      <c r="U92" s="168">
        <v>203.1</v>
      </c>
      <c r="V92" s="99">
        <f t="shared" si="21"/>
        <v>228.12192000000005</v>
      </c>
      <c r="W92" s="32">
        <f t="shared" si="22"/>
        <v>232.68435840000006</v>
      </c>
      <c r="X92" s="32">
        <f t="shared" si="23"/>
        <v>237.24679680000006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25</v>
      </c>
      <c r="Q93" s="35">
        <v>2412371</v>
      </c>
      <c r="R93" s="5" t="s">
        <v>4374</v>
      </c>
      <c r="S93" s="5">
        <f>S92-1</f>
        <v>145</v>
      </c>
      <c r="T93" s="5" t="s">
        <v>4390</v>
      </c>
      <c r="U93" s="168">
        <v>3930</v>
      </c>
      <c r="V93" s="99">
        <f t="shared" si="21"/>
        <v>4411.1612054794523</v>
      </c>
      <c r="W93" s="32">
        <f t="shared" si="22"/>
        <v>4499.3844295890412</v>
      </c>
      <c r="X93" s="32">
        <f t="shared" si="23"/>
        <v>4587.6076536986302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M94" s="194" t="s">
        <v>4535</v>
      </c>
      <c r="Q94" s="35">
        <v>2010885</v>
      </c>
      <c r="R94" s="5" t="s">
        <v>4393</v>
      </c>
      <c r="S94" s="5">
        <f>S93-2</f>
        <v>143</v>
      </c>
      <c r="T94" s="5" t="s">
        <v>4399</v>
      </c>
      <c r="U94" s="168">
        <v>202.1</v>
      </c>
      <c r="V94" s="99">
        <f t="shared" si="21"/>
        <v>226.53361315068494</v>
      </c>
      <c r="W94" s="32">
        <f t="shared" si="22"/>
        <v>231.06428541369866</v>
      </c>
      <c r="X94" s="32">
        <f t="shared" si="23"/>
        <v>235.59495767671234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M95" t="s">
        <v>4536</v>
      </c>
      <c r="Q95" s="35">
        <v>1994038</v>
      </c>
      <c r="R95" s="5" t="s">
        <v>4404</v>
      </c>
      <c r="S95" s="5">
        <f>S94-3</f>
        <v>140</v>
      </c>
      <c r="T95" s="5" t="s">
        <v>4420</v>
      </c>
      <c r="U95" s="168">
        <v>5560.3</v>
      </c>
      <c r="V95" s="99">
        <f t="shared" si="21"/>
        <v>6219.7363463013708</v>
      </c>
      <c r="W95" s="32">
        <f t="shared" si="22"/>
        <v>6344.1310732273987</v>
      </c>
      <c r="X95" s="32">
        <f t="shared" si="23"/>
        <v>6468.5258001534257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s="96"/>
      <c r="M96" t="s">
        <v>4539</v>
      </c>
      <c r="Q96" s="35">
        <v>444</v>
      </c>
      <c r="R96" s="5" t="s">
        <v>4404</v>
      </c>
      <c r="S96" s="5">
        <f>S95</f>
        <v>140</v>
      </c>
      <c r="T96" s="5" t="s">
        <v>4611</v>
      </c>
      <c r="U96" s="168">
        <v>441.8</v>
      </c>
      <c r="V96" s="99">
        <f t="shared" si="21"/>
        <v>494.19626958904115</v>
      </c>
      <c r="W96" s="32">
        <f t="shared" si="22"/>
        <v>504.080194980822</v>
      </c>
      <c r="X96" s="32">
        <f t="shared" si="23"/>
        <v>513.96412037260279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M97" t="s">
        <v>4540</v>
      </c>
      <c r="Q97" s="35">
        <v>1971103</v>
      </c>
      <c r="R97" s="5" t="s">
        <v>4415</v>
      </c>
      <c r="S97" s="5">
        <f>S96-1</f>
        <v>139</v>
      </c>
      <c r="T97" s="5" t="s">
        <v>4416</v>
      </c>
      <c r="U97" s="168">
        <v>196.2</v>
      </c>
      <c r="V97" s="99">
        <f t="shared" si="21"/>
        <v>219.31827287671234</v>
      </c>
      <c r="W97" s="32">
        <f t="shared" si="22"/>
        <v>223.7046383342466</v>
      </c>
      <c r="X97" s="32">
        <f t="shared" si="23"/>
        <v>228.09100379178085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L98" s="96"/>
      <c r="M98" s="96"/>
      <c r="N98" s="96"/>
      <c r="Q98" s="35">
        <v>1049856</v>
      </c>
      <c r="R98" s="5" t="s">
        <v>4438</v>
      </c>
      <c r="S98" s="5">
        <f>S97-6</f>
        <v>133</v>
      </c>
      <c r="T98" s="5" t="s">
        <v>4477</v>
      </c>
      <c r="U98" s="168">
        <v>184.5</v>
      </c>
      <c r="V98" s="99">
        <f t="shared" si="21"/>
        <v>205.39045479452054</v>
      </c>
      <c r="W98" s="32">
        <f t="shared" si="22"/>
        <v>209.49826389041095</v>
      </c>
      <c r="X98" s="32">
        <f t="shared" si="23"/>
        <v>213.60607298630137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96"/>
      <c r="L99" s="96"/>
      <c r="M99" s="96"/>
      <c r="N99" s="96"/>
      <c r="Q99" s="35">
        <v>1783234</v>
      </c>
      <c r="R99" s="5" t="s">
        <v>4440</v>
      </c>
      <c r="S99" s="5">
        <f>S98-2</f>
        <v>131</v>
      </c>
      <c r="T99" s="5" t="s">
        <v>4441</v>
      </c>
      <c r="U99" s="168">
        <v>177.5</v>
      </c>
      <c r="V99" s="99">
        <f t="shared" si="21"/>
        <v>197.32553424657539</v>
      </c>
      <c r="W99" s="32">
        <f t="shared" si="22"/>
        <v>201.27204493150691</v>
      </c>
      <c r="X99" s="32">
        <f t="shared" si="23"/>
        <v>205.21855561643841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Q100" s="35">
        <v>1662335</v>
      </c>
      <c r="R100" s="5" t="s">
        <v>4444</v>
      </c>
      <c r="S100" s="5">
        <f>S99-5</f>
        <v>126</v>
      </c>
      <c r="T100" s="220" t="s">
        <v>4594</v>
      </c>
      <c r="U100" s="168">
        <v>190.3</v>
      </c>
      <c r="V100" s="99">
        <f t="shared" si="21"/>
        <v>210.82528876712334</v>
      </c>
      <c r="W100" s="32">
        <f t="shared" si="22"/>
        <v>215.04179454246582</v>
      </c>
      <c r="X100" s="32">
        <f t="shared" si="23"/>
        <v>219.25830031780828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H101" s="96"/>
      <c r="K101" s="96"/>
      <c r="Q101" s="169">
        <v>499973</v>
      </c>
      <c r="R101" s="168" t="s">
        <v>4584</v>
      </c>
      <c r="S101" s="168">
        <f>S100-37</f>
        <v>89</v>
      </c>
      <c r="T101" s="73" t="s">
        <v>4585</v>
      </c>
      <c r="U101" s="168">
        <v>413</v>
      </c>
      <c r="V101" s="99">
        <f t="shared" si="21"/>
        <v>445.82275068493152</v>
      </c>
      <c r="W101" s="32">
        <f t="shared" si="22"/>
        <v>454.73920569863014</v>
      </c>
      <c r="X101" s="32">
        <f t="shared" si="23"/>
        <v>463.65566071232882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 t="s">
        <v>25</v>
      </c>
      <c r="K102" s="96"/>
      <c r="P102" s="115"/>
      <c r="Q102" s="35">
        <v>2272487</v>
      </c>
      <c r="R102" s="5" t="s">
        <v>4604</v>
      </c>
      <c r="S102" s="5">
        <f>S101-5</f>
        <v>84</v>
      </c>
      <c r="T102" s="5" t="s">
        <v>4605</v>
      </c>
      <c r="U102" s="168">
        <v>174.9</v>
      </c>
      <c r="V102" s="99">
        <f t="shared" si="21"/>
        <v>188.12914849315069</v>
      </c>
      <c r="W102" s="32">
        <f t="shared" si="22"/>
        <v>191.89173146301371</v>
      </c>
      <c r="X102" s="32">
        <f t="shared" si="23"/>
        <v>195.65431443287673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P103" s="128"/>
      <c r="Q103" s="35">
        <v>3975257</v>
      </c>
      <c r="R103" s="5" t="s">
        <v>4609</v>
      </c>
      <c r="S103" s="5">
        <f>S102-1</f>
        <v>83</v>
      </c>
      <c r="T103" s="5" t="s">
        <v>4610</v>
      </c>
      <c r="U103" s="168">
        <v>173</v>
      </c>
      <c r="V103" s="99">
        <f t="shared" si="21"/>
        <v>185.95272328767126</v>
      </c>
      <c r="W103" s="32">
        <f t="shared" si="22"/>
        <v>189.67177775342469</v>
      </c>
      <c r="X103" s="32">
        <f t="shared" si="23"/>
        <v>193.39083221917812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K104" s="96"/>
      <c r="P104" s="128"/>
      <c r="Q104" s="35">
        <v>1031662</v>
      </c>
      <c r="R104" s="5" t="s">
        <v>4234</v>
      </c>
      <c r="S104" s="5">
        <f>S103-1</f>
        <v>82</v>
      </c>
      <c r="T104" s="5" t="s">
        <v>4613</v>
      </c>
      <c r="U104" s="168">
        <v>171.2</v>
      </c>
      <c r="V104" s="99">
        <f t="shared" si="21"/>
        <v>183.88662356164383</v>
      </c>
      <c r="W104" s="32">
        <f t="shared" si="22"/>
        <v>187.5643560328767</v>
      </c>
      <c r="X104" s="32">
        <f t="shared" si="23"/>
        <v>191.2420885041096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F105" s="96"/>
      <c r="G105" s="96"/>
      <c r="H105" s="96"/>
      <c r="I105" s="96"/>
      <c r="J105" s="96"/>
      <c r="L105" s="96"/>
      <c r="M105" s="96"/>
      <c r="N105" s="96"/>
      <c r="P105" s="115"/>
      <c r="Q105" s="169">
        <v>2666019</v>
      </c>
      <c r="R105" s="168" t="s">
        <v>4234</v>
      </c>
      <c r="S105" s="168">
        <f>S104</f>
        <v>82</v>
      </c>
      <c r="T105" s="168" t="s">
        <v>4615</v>
      </c>
      <c r="U105" s="168">
        <v>749</v>
      </c>
      <c r="V105" s="99">
        <f t="shared" si="21"/>
        <v>804.50397808219179</v>
      </c>
      <c r="W105" s="32">
        <f t="shared" si="22"/>
        <v>820.59405764383564</v>
      </c>
      <c r="X105" s="32">
        <f t="shared" si="23"/>
        <v>836.68413720547949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Q106" s="35">
        <v>577500</v>
      </c>
      <c r="R106" s="5" t="s">
        <v>4234</v>
      </c>
      <c r="S106" s="5">
        <f>S105</f>
        <v>82</v>
      </c>
      <c r="T106" s="5" t="s">
        <v>4618</v>
      </c>
      <c r="U106" s="168">
        <v>175</v>
      </c>
      <c r="V106" s="99">
        <f t="shared" si="21"/>
        <v>187.96821917808219</v>
      </c>
      <c r="W106" s="32">
        <f t="shared" si="22"/>
        <v>191.72758356164385</v>
      </c>
      <c r="X106" s="32">
        <f t="shared" si="23"/>
        <v>195.48694794520549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Q107" s="35">
        <v>12636487</v>
      </c>
      <c r="R107" s="5" t="s">
        <v>3691</v>
      </c>
      <c r="S107" s="5">
        <f>S106-2</f>
        <v>80</v>
      </c>
      <c r="T107" s="5" t="s">
        <v>4621</v>
      </c>
      <c r="U107" s="168">
        <v>172.1</v>
      </c>
      <c r="V107" s="99">
        <f t="shared" si="21"/>
        <v>184.58927342465756</v>
      </c>
      <c r="W107" s="32">
        <f t="shared" si="22"/>
        <v>188.28105889315071</v>
      </c>
      <c r="X107" s="32">
        <f t="shared" si="23"/>
        <v>191.97284436164387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215" t="s">
        <v>4720</v>
      </c>
      <c r="G108" s="215" t="s">
        <v>941</v>
      </c>
      <c r="H108" s="215" t="s">
        <v>4699</v>
      </c>
      <c r="I108" s="215" t="s">
        <v>4698</v>
      </c>
      <c r="J108" s="32" t="s">
        <v>4541</v>
      </c>
      <c r="K108" s="215" t="s">
        <v>4687</v>
      </c>
      <c r="L108" s="32" t="s">
        <v>4689</v>
      </c>
      <c r="M108" s="32" t="s">
        <v>4657</v>
      </c>
      <c r="N108" s="215" t="s">
        <v>4658</v>
      </c>
      <c r="Q108" s="169">
        <v>60508</v>
      </c>
      <c r="R108" s="168" t="s">
        <v>4624</v>
      </c>
      <c r="S108" s="168">
        <f>S107-3</f>
        <v>77</v>
      </c>
      <c r="T108" s="168" t="s">
        <v>4987</v>
      </c>
      <c r="U108" s="168">
        <v>1204.7</v>
      </c>
      <c r="V108" s="99">
        <f t="shared" si="21"/>
        <v>1289.3524536986301</v>
      </c>
      <c r="W108" s="32">
        <f t="shared" si="22"/>
        <v>1315.1395027726028</v>
      </c>
      <c r="X108" s="32">
        <f t="shared" si="23"/>
        <v>1340.9265518465754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200">
        <f t="shared" ref="F109:F114" si="25">$L$120/G109</f>
        <v>24213.075060532687</v>
      </c>
      <c r="G109" s="200">
        <f>P58</f>
        <v>206.5</v>
      </c>
      <c r="H109" s="200" t="s">
        <v>4849</v>
      </c>
      <c r="I109" s="200" t="s">
        <v>4848</v>
      </c>
      <c r="J109" s="216" t="s">
        <v>4243</v>
      </c>
      <c r="K109" s="200">
        <v>61</v>
      </c>
      <c r="L109" s="217">
        <f t="shared" ref="L109:L117" si="26">K109*$L$120</f>
        <v>305000000</v>
      </c>
      <c r="M109" s="217">
        <f>N21+N33+N58</f>
        <v>309439837</v>
      </c>
      <c r="N109" s="184">
        <f t="shared" ref="N109:N117" si="27">L109-M109</f>
        <v>-4439837</v>
      </c>
      <c r="Q109" s="39">
        <v>11121445</v>
      </c>
      <c r="R109" s="5" t="s">
        <v>4624</v>
      </c>
      <c r="S109" s="5">
        <f>S108</f>
        <v>77</v>
      </c>
      <c r="T109" s="5" t="s">
        <v>4862</v>
      </c>
      <c r="U109" s="168">
        <v>171.8</v>
      </c>
      <c r="V109" s="99">
        <f t="shared" si="21"/>
        <v>183.8721271232877</v>
      </c>
      <c r="W109" s="32">
        <f t="shared" si="22"/>
        <v>187.54956966575347</v>
      </c>
      <c r="X109" s="32">
        <f t="shared" si="23"/>
        <v>191.22701220821921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215">
        <f t="shared" si="25"/>
        <v>789.11650516082193</v>
      </c>
      <c r="G110" s="215">
        <f>P50</f>
        <v>6336.2</v>
      </c>
      <c r="H110" s="215" t="s">
        <v>4703</v>
      </c>
      <c r="I110" s="215" t="s">
        <v>4702</v>
      </c>
      <c r="J110" s="32" t="s">
        <v>4395</v>
      </c>
      <c r="K110" s="215">
        <v>34</v>
      </c>
      <c r="L110" s="1">
        <f t="shared" si="26"/>
        <v>170000000</v>
      </c>
      <c r="M110" s="1">
        <f>N26+N50+N29</f>
        <v>228819190.59999999</v>
      </c>
      <c r="N110" s="113">
        <f t="shared" si="27"/>
        <v>-58819190.599999994</v>
      </c>
      <c r="Q110" s="35">
        <v>8978273</v>
      </c>
      <c r="R110" s="5" t="s">
        <v>4628</v>
      </c>
      <c r="S110" s="5">
        <f>S109-1</f>
        <v>76</v>
      </c>
      <c r="T110" s="5" t="s">
        <v>4629</v>
      </c>
      <c r="U110" s="168">
        <v>3405.9</v>
      </c>
      <c r="V110" s="99">
        <f t="shared" si="21"/>
        <v>3642.6147156164388</v>
      </c>
      <c r="W110" s="32">
        <f t="shared" ref="W110:W164" si="28">V110*(1+$W$19/100)</f>
        <v>3715.4670099287678</v>
      </c>
      <c r="X110" s="32">
        <f t="shared" ref="X110:X164" si="29">V110*(1+$X$19/100)</f>
        <v>3788.3193042410967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00">
        <f t="shared" si="25"/>
        <v>1288.3609472029684</v>
      </c>
      <c r="G111" s="200">
        <f>P46</f>
        <v>3880.9</v>
      </c>
      <c r="H111" s="200" t="s">
        <v>3881</v>
      </c>
      <c r="I111" s="200" t="s">
        <v>4704</v>
      </c>
      <c r="J111" s="216" t="s">
        <v>4391</v>
      </c>
      <c r="K111" s="200">
        <v>34</v>
      </c>
      <c r="L111" s="217">
        <f t="shared" si="26"/>
        <v>170000000</v>
      </c>
      <c r="M111" s="217">
        <f>N46+N30+N22</f>
        <v>227638070.40000001</v>
      </c>
      <c r="N111" s="184">
        <f t="shared" si="27"/>
        <v>-57638070.400000006</v>
      </c>
      <c r="Q111" s="169">
        <v>1013762</v>
      </c>
      <c r="R111" s="168" t="s">
        <v>4628</v>
      </c>
      <c r="S111" s="168">
        <f>S110</f>
        <v>76</v>
      </c>
      <c r="T111" s="168" t="s">
        <v>4631</v>
      </c>
      <c r="U111" s="168">
        <v>217.1</v>
      </c>
      <c r="V111" s="99">
        <f t="shared" si="21"/>
        <v>232.1887473972603</v>
      </c>
      <c r="W111" s="32">
        <f t="shared" si="28"/>
        <v>236.83252234520552</v>
      </c>
      <c r="X111" s="32">
        <f t="shared" si="29"/>
        <v>241.47629729315071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5">
        <f t="shared" si="25"/>
        <v>7350.7791825933546</v>
      </c>
      <c r="G112" s="215">
        <f>P51</f>
        <v>680.2</v>
      </c>
      <c r="H112" s="215" t="s">
        <v>4701</v>
      </c>
      <c r="I112" s="215" t="s">
        <v>4700</v>
      </c>
      <c r="J112" s="32" t="s">
        <v>4410</v>
      </c>
      <c r="K112" s="215">
        <v>34</v>
      </c>
      <c r="L112" s="1">
        <f t="shared" si="26"/>
        <v>170000000</v>
      </c>
      <c r="M112" s="1">
        <f>N51+N24+N31</f>
        <v>178555220.79999998</v>
      </c>
      <c r="N112" s="113">
        <f t="shared" si="27"/>
        <v>-8555220.7999999821</v>
      </c>
      <c r="Q112" s="169">
        <v>12953846</v>
      </c>
      <c r="R112" s="168" t="s">
        <v>4628</v>
      </c>
      <c r="S112" s="168">
        <f>S111</f>
        <v>76</v>
      </c>
      <c r="T112" s="168" t="s">
        <v>4750</v>
      </c>
      <c r="U112" s="168">
        <v>4500.5</v>
      </c>
      <c r="V112" s="99">
        <f t="shared" si="21"/>
        <v>4813.2909150684936</v>
      </c>
      <c r="W112" s="32">
        <f t="shared" si="28"/>
        <v>4909.5567333698637</v>
      </c>
      <c r="X112" s="32">
        <f t="shared" si="29"/>
        <v>5005.8225516712337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00">
        <f t="shared" si="25"/>
        <v>873.07269203233864</v>
      </c>
      <c r="G113" s="200">
        <f>P53</f>
        <v>5726.9</v>
      </c>
      <c r="H113" s="200" t="s">
        <v>4705</v>
      </c>
      <c r="I113" s="200" t="s">
        <v>4704</v>
      </c>
      <c r="J113" s="216" t="s">
        <v>4537</v>
      </c>
      <c r="K113" s="200">
        <v>7</v>
      </c>
      <c r="L113" s="217">
        <f t="shared" si="26"/>
        <v>35000000</v>
      </c>
      <c r="M113" s="217">
        <f>N53</f>
        <v>16682459.699999999</v>
      </c>
      <c r="N113" s="184">
        <f t="shared" si="27"/>
        <v>18317540.300000001</v>
      </c>
      <c r="Q113" s="35">
        <v>4068640</v>
      </c>
      <c r="R113" s="5" t="s">
        <v>4635</v>
      </c>
      <c r="S113" s="5">
        <f>S112-1</f>
        <v>75</v>
      </c>
      <c r="T113" s="5" t="s">
        <v>4636</v>
      </c>
      <c r="U113" s="168">
        <v>3322.3</v>
      </c>
      <c r="V113" s="99">
        <f t="shared" si="21"/>
        <v>3550.6557873972611</v>
      </c>
      <c r="W113" s="32">
        <f t="shared" si="28"/>
        <v>3621.6689031452065</v>
      </c>
      <c r="X113" s="32">
        <f t="shared" si="29"/>
        <v>3692.6820188931515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15">
        <f t="shared" si="25"/>
        <v>1087.5475802066339</v>
      </c>
      <c r="G114" s="215">
        <f>P52</f>
        <v>4597.5</v>
      </c>
      <c r="H114" s="215" t="s">
        <v>4706</v>
      </c>
      <c r="I114" s="215" t="s">
        <v>4707</v>
      </c>
      <c r="J114" s="32" t="s">
        <v>4538</v>
      </c>
      <c r="K114" s="215">
        <v>34</v>
      </c>
      <c r="L114" s="1">
        <f t="shared" si="26"/>
        <v>170000000</v>
      </c>
      <c r="M114" s="1">
        <f>N52+N25</f>
        <v>131814922.5</v>
      </c>
      <c r="N114" s="113">
        <f t="shared" si="27"/>
        <v>38185077.5</v>
      </c>
      <c r="Q114" s="35">
        <v>12656982</v>
      </c>
      <c r="R114" s="5" t="s">
        <v>4635</v>
      </c>
      <c r="S114" s="5">
        <f>S113</f>
        <v>75</v>
      </c>
      <c r="T114" s="5" t="s">
        <v>4637</v>
      </c>
      <c r="U114" s="168">
        <v>5249.9</v>
      </c>
      <c r="V114" s="99">
        <f t="shared" si="21"/>
        <v>5610.7479210958909</v>
      </c>
      <c r="W114" s="32">
        <f t="shared" si="28"/>
        <v>5722.9628795178087</v>
      </c>
      <c r="X114" s="32">
        <f t="shared" si="29"/>
        <v>5835.1778379397265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00"/>
      <c r="G115" s="200"/>
      <c r="H115" s="231">
        <v>35433</v>
      </c>
      <c r="I115" s="200" t="s">
        <v>4702</v>
      </c>
      <c r="J115" s="216" t="s">
        <v>4614</v>
      </c>
      <c r="K115" s="200">
        <v>2</v>
      </c>
      <c r="L115" s="217">
        <f t="shared" si="26"/>
        <v>10000000</v>
      </c>
      <c r="M115" s="217">
        <f>N54</f>
        <v>4692510</v>
      </c>
      <c r="N115" s="113">
        <f t="shared" si="27"/>
        <v>5307490</v>
      </c>
      <c r="Q115" s="169">
        <v>100905</v>
      </c>
      <c r="R115" s="168" t="s">
        <v>4638</v>
      </c>
      <c r="S115" s="168">
        <f>S114-1</f>
        <v>74</v>
      </c>
      <c r="T115" s="168" t="s">
        <v>4644</v>
      </c>
      <c r="U115" s="168">
        <v>372</v>
      </c>
      <c r="V115" s="99">
        <f t="shared" si="21"/>
        <v>397.28376986301373</v>
      </c>
      <c r="W115" s="32">
        <f t="shared" si="28"/>
        <v>405.22944526027402</v>
      </c>
      <c r="X115" s="32">
        <f t="shared" si="29"/>
        <v>413.17512065753431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15"/>
      <c r="G116" s="215"/>
      <c r="H116" s="215" t="s">
        <v>3881</v>
      </c>
      <c r="I116" s="215" t="s">
        <v>4847</v>
      </c>
      <c r="J116" s="32" t="s">
        <v>4296</v>
      </c>
      <c r="K116" s="215">
        <v>4</v>
      </c>
      <c r="L116" s="1">
        <f t="shared" si="26"/>
        <v>20000000</v>
      </c>
      <c r="M116" s="1">
        <f>N55</f>
        <v>2510523.6</v>
      </c>
      <c r="N116" s="113">
        <f t="shared" si="27"/>
        <v>17489476.399999999</v>
      </c>
      <c r="Q116" s="35">
        <v>48637534</v>
      </c>
      <c r="R116" s="5" t="s">
        <v>4638</v>
      </c>
      <c r="S116" s="5">
        <f>S115</f>
        <v>74</v>
      </c>
      <c r="T116" s="5" t="s">
        <v>4642</v>
      </c>
      <c r="U116" s="168">
        <v>5330</v>
      </c>
      <c r="V116" s="99">
        <f t="shared" si="21"/>
        <v>5692.264767123288</v>
      </c>
      <c r="W116" s="32">
        <f t="shared" si="28"/>
        <v>5806.1100624657538</v>
      </c>
      <c r="X116" s="32">
        <f t="shared" si="29"/>
        <v>5919.9553578082196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00"/>
      <c r="G117" s="200"/>
      <c r="H117" s="200"/>
      <c r="I117" s="200"/>
      <c r="J117" s="216" t="s">
        <v>4670</v>
      </c>
      <c r="K117" s="200">
        <v>1</v>
      </c>
      <c r="L117" s="217">
        <f t="shared" si="26"/>
        <v>5000000</v>
      </c>
      <c r="M117" s="217">
        <f>N47+N49+N57+N56</f>
        <v>2753188.2</v>
      </c>
      <c r="N117" s="184">
        <f t="shared" si="27"/>
        <v>2246811.7999999998</v>
      </c>
      <c r="Q117" s="35">
        <v>40048573</v>
      </c>
      <c r="R117" s="5" t="s">
        <v>4638</v>
      </c>
      <c r="S117" s="5">
        <f>S116</f>
        <v>74</v>
      </c>
      <c r="T117" s="5" t="s">
        <v>4643</v>
      </c>
      <c r="U117" s="168">
        <v>498.9</v>
      </c>
      <c r="V117" s="99">
        <f t="shared" si="21"/>
        <v>532.8087978082192</v>
      </c>
      <c r="W117" s="32">
        <f t="shared" si="28"/>
        <v>543.46497376438356</v>
      </c>
      <c r="X117" s="32">
        <f t="shared" si="29"/>
        <v>554.12114972054803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5"/>
      <c r="G118" s="215"/>
      <c r="H118" s="215"/>
      <c r="I118" s="215"/>
      <c r="J118" s="32" t="s">
        <v>4819</v>
      </c>
      <c r="K118" s="215"/>
      <c r="L118" s="1"/>
      <c r="M118" s="1"/>
      <c r="N118" s="113">
        <v>50000000</v>
      </c>
      <c r="Q118" s="169">
        <v>1000495</v>
      </c>
      <c r="R118" s="168" t="s">
        <v>4654</v>
      </c>
      <c r="S118" s="168">
        <f>S117-1</f>
        <v>73</v>
      </c>
      <c r="T118" s="168" t="s">
        <v>4721</v>
      </c>
      <c r="U118" s="168">
        <v>724.8</v>
      </c>
      <c r="V118" s="99">
        <f t="shared" si="21"/>
        <v>773.50656000000004</v>
      </c>
      <c r="W118" s="32">
        <f t="shared" si="28"/>
        <v>788.9766912</v>
      </c>
      <c r="X118" s="32">
        <f t="shared" si="29"/>
        <v>804.44682240000009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00"/>
      <c r="G119" s="200"/>
      <c r="H119" s="200"/>
      <c r="I119" s="200"/>
      <c r="J119" s="216" t="s">
        <v>4956</v>
      </c>
      <c r="K119" s="200">
        <f>SUM(K109:K117)</f>
        <v>211</v>
      </c>
      <c r="L119" s="217"/>
      <c r="M119" s="217"/>
      <c r="N119" s="184"/>
      <c r="Q119" s="35">
        <v>37856769</v>
      </c>
      <c r="R119" s="5" t="s">
        <v>4654</v>
      </c>
      <c r="S119" s="5">
        <f>S118</f>
        <v>73</v>
      </c>
      <c r="T119" s="5" t="s">
        <v>4656</v>
      </c>
      <c r="U119" s="168">
        <v>5393.6</v>
      </c>
      <c r="V119" s="99">
        <f t="shared" si="21"/>
        <v>5756.0499200000013</v>
      </c>
      <c r="W119" s="32">
        <f t="shared" si="28"/>
        <v>5871.170918400001</v>
      </c>
      <c r="X119" s="32">
        <f t="shared" si="29"/>
        <v>5986.2919168000017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15"/>
      <c r="G120" s="215"/>
      <c r="H120" s="215" t="s">
        <v>25</v>
      </c>
      <c r="I120" s="215"/>
      <c r="J120" s="32"/>
      <c r="K120" s="215">
        <v>8</v>
      </c>
      <c r="L120" s="39">
        <f>10*P59</f>
        <v>5000000</v>
      </c>
      <c r="M120" s="1">
        <f>K120*L120</f>
        <v>40000000</v>
      </c>
      <c r="N120" s="113">
        <f>SUM(N109:N118)-M120</f>
        <v>-37905922.79999999</v>
      </c>
      <c r="P120" s="114"/>
      <c r="Q120" s="35">
        <v>155151</v>
      </c>
      <c r="R120" s="5" t="s">
        <v>4665</v>
      </c>
      <c r="S120" s="5">
        <f>S119-3</f>
        <v>70</v>
      </c>
      <c r="T120" s="5" t="s">
        <v>4667</v>
      </c>
      <c r="U120" s="168">
        <v>5325.9</v>
      </c>
      <c r="V120" s="99">
        <f t="shared" ref="V120:V151" si="30">U120*(1+$N$90+$Q$15*S120/36500)</f>
        <v>5671.543614246576</v>
      </c>
      <c r="W120" s="32">
        <f t="shared" si="28"/>
        <v>5784.9744865315079</v>
      </c>
      <c r="X120" s="32">
        <f t="shared" si="29"/>
        <v>5898.4053588164388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00"/>
      <c r="G121" s="200"/>
      <c r="H121" s="200"/>
      <c r="I121" s="200"/>
      <c r="J121" s="216"/>
      <c r="K121" s="248" t="s">
        <v>4982</v>
      </c>
      <c r="L121" s="217" t="s">
        <v>4253</v>
      </c>
      <c r="M121" s="217" t="s">
        <v>4679</v>
      </c>
      <c r="N121" s="184" t="s">
        <v>4680</v>
      </c>
      <c r="Q121" s="169">
        <v>109726</v>
      </c>
      <c r="R121" s="168" t="s">
        <v>4665</v>
      </c>
      <c r="S121" s="168">
        <f>S120</f>
        <v>70</v>
      </c>
      <c r="T121" s="168" t="s">
        <v>4668</v>
      </c>
      <c r="U121" s="168">
        <v>3900.7</v>
      </c>
      <c r="V121" s="99">
        <f t="shared" si="30"/>
        <v>4153.8500865753431</v>
      </c>
      <c r="W121" s="32">
        <f t="shared" si="28"/>
        <v>4236.9270883068502</v>
      </c>
      <c r="X121" s="32">
        <f t="shared" si="29"/>
        <v>4320.0040900383574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64" si="32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32" t="s">
        <v>4688</v>
      </c>
      <c r="K122" s="215"/>
      <c r="L122" s="1"/>
      <c r="M122" s="1"/>
      <c r="N122" s="113"/>
      <c r="Q122" s="35">
        <v>8938737</v>
      </c>
      <c r="R122" s="5" t="s">
        <v>4671</v>
      </c>
      <c r="S122" s="5">
        <f>S121-1</f>
        <v>69</v>
      </c>
      <c r="T122" s="5" t="s">
        <v>4673</v>
      </c>
      <c r="U122" s="168">
        <v>5179.5</v>
      </c>
      <c r="V122" s="99">
        <f t="shared" si="30"/>
        <v>5511.6691397260274</v>
      </c>
      <c r="W122" s="32">
        <f t="shared" si="28"/>
        <v>5621.9025225205478</v>
      </c>
      <c r="X122" s="32">
        <f t="shared" si="29"/>
        <v>5732.1359053150691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7" t="s">
        <v>4625</v>
      </c>
    </row>
    <row r="123" spans="6:46">
      <c r="M123" t="s">
        <v>25</v>
      </c>
      <c r="Q123" s="35">
        <v>2595417</v>
      </c>
      <c r="R123" s="5" t="s">
        <v>4681</v>
      </c>
      <c r="S123" s="5">
        <f>S122-1</f>
        <v>68</v>
      </c>
      <c r="T123" s="5" t="s">
        <v>4682</v>
      </c>
      <c r="U123" s="168">
        <v>4803</v>
      </c>
      <c r="V123" s="99">
        <f t="shared" si="30"/>
        <v>5107.3391342465757</v>
      </c>
      <c r="W123" s="32">
        <f t="shared" si="28"/>
        <v>5209.4859169315068</v>
      </c>
      <c r="X123" s="32">
        <f t="shared" si="29"/>
        <v>5311.6326996164389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4639</v>
      </c>
    </row>
    <row r="124" spans="6:46">
      <c r="P124" s="114"/>
      <c r="Q124" s="169">
        <v>2505816</v>
      </c>
      <c r="R124" s="168" t="s">
        <v>4681</v>
      </c>
      <c r="S124" s="168">
        <f>S123</f>
        <v>68</v>
      </c>
      <c r="T124" s="168" t="s">
        <v>4683</v>
      </c>
      <c r="U124" s="168">
        <v>3723</v>
      </c>
      <c r="V124" s="99">
        <f t="shared" si="30"/>
        <v>3958.9056000000005</v>
      </c>
      <c r="W124" s="32">
        <f t="shared" si="28"/>
        <v>4038.0837120000006</v>
      </c>
      <c r="X124" s="32">
        <f t="shared" si="29"/>
        <v>4117.2618240000011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4640</v>
      </c>
      <c r="AQ124" t="s">
        <v>25</v>
      </c>
    </row>
    <row r="125" spans="6:46">
      <c r="F125" s="215" t="s">
        <v>5005</v>
      </c>
      <c r="G125" s="129" t="s">
        <v>5006</v>
      </c>
      <c r="H125" s="4" t="s">
        <v>4955</v>
      </c>
      <c r="I125" s="4" t="s">
        <v>4840</v>
      </c>
      <c r="J125" s="215" t="s">
        <v>4813</v>
      </c>
      <c r="K125" s="168" t="s">
        <v>4541</v>
      </c>
      <c r="L125" s="168" t="s">
        <v>4542</v>
      </c>
      <c r="M125" s="168" t="s">
        <v>4436</v>
      </c>
      <c r="N125" s="56" t="s">
        <v>190</v>
      </c>
      <c r="Q125" s="169">
        <v>183283</v>
      </c>
      <c r="R125" s="212" t="s">
        <v>4685</v>
      </c>
      <c r="S125" s="212">
        <f>S124-1</f>
        <v>67</v>
      </c>
      <c r="T125" s="212" t="s">
        <v>4696</v>
      </c>
      <c r="U125" s="212">
        <v>347.5</v>
      </c>
      <c r="V125" s="99">
        <f t="shared" si="30"/>
        <v>369.25254794520549</v>
      </c>
      <c r="W125" s="32">
        <f t="shared" si="28"/>
        <v>376.63759890410961</v>
      </c>
      <c r="X125" s="32">
        <f t="shared" si="29"/>
        <v>384.02264986301373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4641</v>
      </c>
      <c r="AP125" t="s">
        <v>25</v>
      </c>
    </row>
    <row r="126" spans="6:46">
      <c r="F126" s="215" t="s">
        <v>4363</v>
      </c>
      <c r="G126" s="215" t="s">
        <v>941</v>
      </c>
      <c r="H126" s="215" t="s">
        <v>4541</v>
      </c>
      <c r="I126" s="215" t="s">
        <v>937</v>
      </c>
      <c r="J126" s="215" t="s">
        <v>4814</v>
      </c>
      <c r="K126" s="168" t="s">
        <v>4243</v>
      </c>
      <c r="L126" s="169">
        <v>1100000</v>
      </c>
      <c r="M126" s="169">
        <v>1637000</v>
      </c>
      <c r="N126" s="168">
        <f t="shared" ref="N126:N134" si="33">(M126-L126)*100/L126</f>
        <v>48.81818181818182</v>
      </c>
      <c r="Q126" s="169">
        <v>177438</v>
      </c>
      <c r="R126" s="212" t="s">
        <v>4685</v>
      </c>
      <c r="S126" s="212">
        <f t="shared" ref="S126:S129" si="34">S125</f>
        <v>67</v>
      </c>
      <c r="T126" s="212" t="s">
        <v>4692</v>
      </c>
      <c r="U126" s="212">
        <v>207.3</v>
      </c>
      <c r="V126" s="99">
        <f t="shared" si="30"/>
        <v>220.27641205479455</v>
      </c>
      <c r="W126" s="32">
        <f t="shared" si="28"/>
        <v>224.68194029589046</v>
      </c>
      <c r="X126" s="32">
        <f t="shared" si="29"/>
        <v>229.08746853698634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</row>
    <row r="127" spans="6:46">
      <c r="F127" s="1">
        <v>3307.5</v>
      </c>
      <c r="G127" s="1">
        <f>P46</f>
        <v>3880.9</v>
      </c>
      <c r="H127" s="215" t="s">
        <v>4391</v>
      </c>
      <c r="I127" s="215">
        <v>3761</v>
      </c>
      <c r="J127" s="1">
        <f>I127*G127</f>
        <v>14596064.9</v>
      </c>
      <c r="K127" s="5" t="s">
        <v>4536</v>
      </c>
      <c r="L127" s="169">
        <v>1100000</v>
      </c>
      <c r="M127" s="169">
        <v>4748000</v>
      </c>
      <c r="N127" s="168">
        <f t="shared" si="33"/>
        <v>331.63636363636363</v>
      </c>
      <c r="Q127" s="35">
        <v>559461</v>
      </c>
      <c r="R127" s="5" t="s">
        <v>4685</v>
      </c>
      <c r="S127" s="5">
        <f t="shared" si="34"/>
        <v>67</v>
      </c>
      <c r="T127" s="5" t="s">
        <v>4693</v>
      </c>
      <c r="U127" s="212">
        <v>508.1</v>
      </c>
      <c r="V127" s="99">
        <f t="shared" si="30"/>
        <v>539.90566794520555</v>
      </c>
      <c r="W127" s="32">
        <f t="shared" si="28"/>
        <v>550.70378130410973</v>
      </c>
      <c r="X127" s="32">
        <f t="shared" si="29"/>
        <v>561.50189466301379</v>
      </c>
      <c r="AH127" s="149">
        <v>107</v>
      </c>
      <c r="AI127" s="189" t="s">
        <v>4638</v>
      </c>
      <c r="AJ127" s="189">
        <v>-48200</v>
      </c>
      <c r="AK127" s="149">
        <v>0</v>
      </c>
      <c r="AL127" s="149">
        <f t="shared" ref="AL127:AL164" si="35">AL128+AK127</f>
        <v>63</v>
      </c>
      <c r="AM127" s="189">
        <f t="shared" si="32"/>
        <v>-3036600</v>
      </c>
      <c r="AN127" s="149" t="s">
        <v>4649</v>
      </c>
    </row>
    <row r="128" spans="6:46">
      <c r="F128" s="1">
        <v>5249.5</v>
      </c>
      <c r="G128" s="1">
        <f>P50</f>
        <v>6336.2</v>
      </c>
      <c r="H128" s="215" t="s">
        <v>4395</v>
      </c>
      <c r="I128" s="215">
        <v>7163</v>
      </c>
      <c r="J128" s="1">
        <f>I128*G128</f>
        <v>45386200.600000001</v>
      </c>
      <c r="K128" s="5" t="s">
        <v>4537</v>
      </c>
      <c r="L128" s="169">
        <v>1100000</v>
      </c>
      <c r="M128" s="169">
        <v>5137000</v>
      </c>
      <c r="N128" s="168">
        <f t="shared" si="33"/>
        <v>367</v>
      </c>
      <c r="Q128" s="35">
        <v>9376000</v>
      </c>
      <c r="R128" s="5" t="s">
        <v>4685</v>
      </c>
      <c r="S128" s="5">
        <f>S127</f>
        <v>67</v>
      </c>
      <c r="T128" s="5" t="s">
        <v>4694</v>
      </c>
      <c r="U128" s="212">
        <v>3184.1</v>
      </c>
      <c r="V128" s="99">
        <f t="shared" si="30"/>
        <v>3383.4159364383563</v>
      </c>
      <c r="W128" s="32">
        <f t="shared" si="28"/>
        <v>3451.0842551671235</v>
      </c>
      <c r="X128" s="32">
        <f t="shared" si="29"/>
        <v>3518.7525738958907</v>
      </c>
      <c r="AH128" s="89">
        <v>108</v>
      </c>
      <c r="AI128" s="90" t="s">
        <v>4638</v>
      </c>
      <c r="AJ128" s="90">
        <v>39327293</v>
      </c>
      <c r="AK128" s="89">
        <v>4</v>
      </c>
      <c r="AL128" s="149">
        <f t="shared" si="35"/>
        <v>63</v>
      </c>
      <c r="AM128" s="189">
        <f t="shared" si="32"/>
        <v>2477619459</v>
      </c>
      <c r="AN128" s="89" t="s">
        <v>4650</v>
      </c>
    </row>
    <row r="129" spans="6:44">
      <c r="F129" s="1">
        <v>519.79999999999995</v>
      </c>
      <c r="G129" s="1">
        <f>P51</f>
        <v>680.2</v>
      </c>
      <c r="H129" s="215" t="s">
        <v>4410</v>
      </c>
      <c r="I129" s="215">
        <v>0</v>
      </c>
      <c r="J129" s="1">
        <f>I129*G129</f>
        <v>0</v>
      </c>
      <c r="K129" s="19" t="s">
        <v>4391</v>
      </c>
      <c r="L129" s="169">
        <v>1100000</v>
      </c>
      <c r="M129" s="169">
        <v>4300000</v>
      </c>
      <c r="N129" s="168">
        <f t="shared" si="33"/>
        <v>290.90909090909093</v>
      </c>
      <c r="P129" s="114"/>
      <c r="Q129" s="169">
        <v>128675</v>
      </c>
      <c r="R129" s="212" t="s">
        <v>4685</v>
      </c>
      <c r="S129" s="212">
        <f t="shared" si="34"/>
        <v>67</v>
      </c>
      <c r="T129" s="212" t="s">
        <v>4695</v>
      </c>
      <c r="U129" s="212">
        <v>699.9</v>
      </c>
      <c r="V129" s="99">
        <f t="shared" si="30"/>
        <v>743.71182246575336</v>
      </c>
      <c r="W129" s="32">
        <f t="shared" si="28"/>
        <v>758.58605891506841</v>
      </c>
      <c r="X129" s="32">
        <f t="shared" si="29"/>
        <v>773.46029536438357</v>
      </c>
      <c r="AH129" s="89">
        <v>109</v>
      </c>
      <c r="AI129" s="90" t="s">
        <v>4665</v>
      </c>
      <c r="AJ129" s="90">
        <v>8749050</v>
      </c>
      <c r="AK129" s="89">
        <v>1</v>
      </c>
      <c r="AL129" s="89">
        <f t="shared" si="35"/>
        <v>59</v>
      </c>
      <c r="AM129" s="90">
        <f t="shared" si="32"/>
        <v>516193950</v>
      </c>
      <c r="AN129" s="89" t="s">
        <v>4669</v>
      </c>
      <c r="AQ129" t="s">
        <v>25</v>
      </c>
    </row>
    <row r="130" spans="6:44">
      <c r="F130" s="1">
        <v>4051</v>
      </c>
      <c r="G130" s="1">
        <f>P52</f>
        <v>4597.5</v>
      </c>
      <c r="H130" s="215" t="s">
        <v>4538</v>
      </c>
      <c r="I130" s="215">
        <v>130</v>
      </c>
      <c r="J130" s="1">
        <f>I130*G130</f>
        <v>597675</v>
      </c>
      <c r="K130" s="5" t="s">
        <v>4410</v>
      </c>
      <c r="L130" s="169">
        <v>1100000</v>
      </c>
      <c r="M130" s="169">
        <v>3191000</v>
      </c>
      <c r="N130" s="168">
        <f t="shared" si="33"/>
        <v>190.09090909090909</v>
      </c>
      <c r="Q130" s="35">
        <v>13100555</v>
      </c>
      <c r="R130" s="5" t="s">
        <v>4708</v>
      </c>
      <c r="S130" s="5">
        <f>S129-1</f>
        <v>66</v>
      </c>
      <c r="T130" s="5" t="s">
        <v>4709</v>
      </c>
      <c r="U130" s="212">
        <v>3180.5</v>
      </c>
      <c r="V130" s="99">
        <f t="shared" si="30"/>
        <v>3377.1507506849316</v>
      </c>
      <c r="W130" s="32">
        <f t="shared" si="28"/>
        <v>3444.6937656986302</v>
      </c>
      <c r="X130" s="32">
        <f t="shared" si="29"/>
        <v>3512.2367807123292</v>
      </c>
      <c r="Z130" t="s">
        <v>25</v>
      </c>
      <c r="AH130" s="99">
        <v>110</v>
      </c>
      <c r="AI130" s="113" t="s">
        <v>4671</v>
      </c>
      <c r="AJ130" s="113">
        <v>60000</v>
      </c>
      <c r="AK130" s="99">
        <v>1</v>
      </c>
      <c r="AL130" s="99">
        <f t="shared" si="35"/>
        <v>58</v>
      </c>
      <c r="AM130" s="117">
        <f t="shared" si="32"/>
        <v>3480000</v>
      </c>
      <c r="AN130" s="99" t="s">
        <v>4672</v>
      </c>
    </row>
    <row r="131" spans="6:44">
      <c r="F131" s="215"/>
      <c r="G131" s="215"/>
      <c r="H131" s="215"/>
      <c r="I131" s="215"/>
      <c r="J131" s="1">
        <f>SUM(J127:J130)</f>
        <v>60579940.5</v>
      </c>
      <c r="K131" s="5" t="s">
        <v>4538</v>
      </c>
      <c r="L131" s="169">
        <v>1100000</v>
      </c>
      <c r="M131" s="169">
        <v>5623000</v>
      </c>
      <c r="N131" s="168">
        <f t="shared" si="33"/>
        <v>411.18181818181819</v>
      </c>
      <c r="Q131" s="35">
        <v>622942</v>
      </c>
      <c r="R131" s="5" t="s">
        <v>4708</v>
      </c>
      <c r="S131" s="5">
        <f>S130</f>
        <v>66</v>
      </c>
      <c r="T131" s="5" t="s">
        <v>4710</v>
      </c>
      <c r="U131" s="212">
        <v>503.3</v>
      </c>
      <c r="V131" s="99">
        <f t="shared" si="30"/>
        <v>534.4191079452055</v>
      </c>
      <c r="W131" s="32">
        <f t="shared" si="28"/>
        <v>545.10749010410962</v>
      </c>
      <c r="X131" s="32">
        <f t="shared" si="29"/>
        <v>555.79587226301373</v>
      </c>
      <c r="AH131" s="20">
        <v>111</v>
      </c>
      <c r="AI131" s="117" t="s">
        <v>4681</v>
      </c>
      <c r="AJ131" s="117">
        <v>4750000</v>
      </c>
      <c r="AK131" s="20">
        <v>0</v>
      </c>
      <c r="AL131" s="99">
        <f t="shared" si="35"/>
        <v>57</v>
      </c>
      <c r="AM131" s="117">
        <f t="shared" si="32"/>
        <v>270750000</v>
      </c>
      <c r="AN131" s="20"/>
    </row>
    <row r="132" spans="6:44">
      <c r="F132" s="215"/>
      <c r="G132" s="215"/>
      <c r="H132" s="215"/>
      <c r="I132" s="215"/>
      <c r="J132" s="215" t="s">
        <v>6</v>
      </c>
      <c r="K132" s="19" t="s">
        <v>4395</v>
      </c>
      <c r="L132" s="169">
        <v>1100000</v>
      </c>
      <c r="M132" s="169">
        <v>7728000</v>
      </c>
      <c r="N132" s="168">
        <f t="shared" si="33"/>
        <v>602.5454545454545</v>
      </c>
      <c r="Q132" s="35">
        <v>1472140</v>
      </c>
      <c r="R132" s="5" t="s">
        <v>4715</v>
      </c>
      <c r="S132" s="5">
        <f>S131-3</f>
        <v>63</v>
      </c>
      <c r="T132" s="5" t="s">
        <v>4719</v>
      </c>
      <c r="U132" s="168">
        <v>502</v>
      </c>
      <c r="V132" s="99">
        <f t="shared" si="30"/>
        <v>531.88344109589048</v>
      </c>
      <c r="W132" s="32">
        <f t="shared" si="28"/>
        <v>542.5211099178083</v>
      </c>
      <c r="X132" s="32">
        <f t="shared" si="29"/>
        <v>553.15877873972613</v>
      </c>
      <c r="AH132" s="89">
        <v>112</v>
      </c>
      <c r="AI132" s="90" t="s">
        <v>4681</v>
      </c>
      <c r="AJ132" s="90">
        <v>13101160</v>
      </c>
      <c r="AK132" s="89">
        <v>1</v>
      </c>
      <c r="AL132" s="89">
        <f t="shared" si="35"/>
        <v>57</v>
      </c>
      <c r="AM132" s="90">
        <f t="shared" si="32"/>
        <v>746766120</v>
      </c>
      <c r="AN132" s="89" t="s">
        <v>4686</v>
      </c>
      <c r="AQ132" t="s">
        <v>25</v>
      </c>
    </row>
    <row r="133" spans="6:44">
      <c r="K133" s="5" t="s">
        <v>4540</v>
      </c>
      <c r="L133" s="169">
        <v>1100000</v>
      </c>
      <c r="M133" s="169">
        <v>2904000</v>
      </c>
      <c r="N133" s="168">
        <f t="shared" si="33"/>
        <v>164</v>
      </c>
      <c r="Q133" s="35">
        <v>4394591</v>
      </c>
      <c r="R133" s="5" t="s">
        <v>4722</v>
      </c>
      <c r="S133" s="5">
        <f>S132-1</f>
        <v>62</v>
      </c>
      <c r="T133" s="5" t="s">
        <v>4723</v>
      </c>
      <c r="U133" s="168">
        <v>481.7</v>
      </c>
      <c r="V133" s="99">
        <f t="shared" si="30"/>
        <v>510.00548383561642</v>
      </c>
      <c r="W133" s="32">
        <f t="shared" si="28"/>
        <v>520.20559351232873</v>
      </c>
      <c r="X133" s="32">
        <f t="shared" si="29"/>
        <v>530.40570318904111</v>
      </c>
      <c r="AH133" s="20">
        <v>113</v>
      </c>
      <c r="AI133" s="117" t="s">
        <v>4685</v>
      </c>
      <c r="AJ133" s="117">
        <v>-980000</v>
      </c>
      <c r="AK133" s="20">
        <v>0</v>
      </c>
      <c r="AL133" s="99">
        <f t="shared" si="35"/>
        <v>56</v>
      </c>
      <c r="AM133" s="117">
        <f t="shared" si="32"/>
        <v>-54880000</v>
      </c>
      <c r="AN133" s="20"/>
    </row>
    <row r="134" spans="6:44">
      <c r="K134" s="56" t="s">
        <v>1086</v>
      </c>
      <c r="L134" s="169">
        <v>1100000</v>
      </c>
      <c r="M134" s="169">
        <v>3400000</v>
      </c>
      <c r="N134" s="168">
        <f t="shared" si="33"/>
        <v>209.09090909090909</v>
      </c>
      <c r="P134" s="114"/>
      <c r="Q134" s="117">
        <v>4085110</v>
      </c>
      <c r="R134" s="19" t="s">
        <v>4725</v>
      </c>
      <c r="S134" s="19">
        <f>S133-1</f>
        <v>61</v>
      </c>
      <c r="T134" s="19" t="s">
        <v>4726</v>
      </c>
      <c r="U134" s="215">
        <v>3115.9</v>
      </c>
      <c r="V134" s="99">
        <f t="shared" si="30"/>
        <v>3296.6051265753426</v>
      </c>
      <c r="W134" s="32">
        <f t="shared" si="28"/>
        <v>3362.5372291068497</v>
      </c>
      <c r="X134" s="32">
        <f t="shared" si="29"/>
        <v>3428.4693316383564</v>
      </c>
      <c r="AH134" s="89">
        <v>114</v>
      </c>
      <c r="AI134" s="90" t="s">
        <v>4685</v>
      </c>
      <c r="AJ134" s="90">
        <v>13301790</v>
      </c>
      <c r="AK134" s="89">
        <v>0</v>
      </c>
      <c r="AL134" s="89">
        <f t="shared" si="35"/>
        <v>56</v>
      </c>
      <c r="AM134" s="90">
        <f t="shared" si="32"/>
        <v>744900240</v>
      </c>
      <c r="AN134" s="89" t="s">
        <v>4686</v>
      </c>
    </row>
    <row r="135" spans="6:44">
      <c r="F135" s="215"/>
      <c r="G135" s="215"/>
      <c r="H135" s="215"/>
      <c r="I135" s="215"/>
      <c r="J135" s="215" t="s">
        <v>4966</v>
      </c>
      <c r="K135" s="246" t="s">
        <v>4569</v>
      </c>
      <c r="Q135" s="117">
        <v>205386</v>
      </c>
      <c r="R135" s="19" t="s">
        <v>4727</v>
      </c>
      <c r="S135" s="19">
        <f>S134</f>
        <v>61</v>
      </c>
      <c r="T135" s="19" t="s">
        <v>4728</v>
      </c>
      <c r="U135" s="215">
        <v>178.1</v>
      </c>
      <c r="V135" s="99">
        <f t="shared" si="30"/>
        <v>188.42882410958904</v>
      </c>
      <c r="W135" s="32">
        <f t="shared" si="28"/>
        <v>192.19740059178082</v>
      </c>
      <c r="X135" s="32">
        <f t="shared" si="29"/>
        <v>195.96597707397262</v>
      </c>
      <c r="Y135" t="s">
        <v>25</v>
      </c>
      <c r="AH135" s="20">
        <v>115</v>
      </c>
      <c r="AI135" s="117" t="s">
        <v>4685</v>
      </c>
      <c r="AJ135" s="117">
        <v>404000</v>
      </c>
      <c r="AK135" s="20">
        <v>5</v>
      </c>
      <c r="AL135" s="99">
        <f t="shared" si="35"/>
        <v>56</v>
      </c>
      <c r="AM135" s="117">
        <f t="shared" si="32"/>
        <v>22624000</v>
      </c>
      <c r="AN135" s="20" t="s">
        <v>4697</v>
      </c>
    </row>
    <row r="136" spans="6:44">
      <c r="F136" s="215" t="s">
        <v>4363</v>
      </c>
      <c r="G136" s="215" t="s">
        <v>941</v>
      </c>
      <c r="H136" s="215" t="s">
        <v>4541</v>
      </c>
      <c r="I136" s="215" t="s">
        <v>937</v>
      </c>
      <c r="J136" s="215" t="s">
        <v>4814</v>
      </c>
      <c r="K136" s="246" t="s">
        <v>4570</v>
      </c>
      <c r="Q136" s="117">
        <v>8398607</v>
      </c>
      <c r="R136" s="19" t="s">
        <v>4738</v>
      </c>
      <c r="S136" s="19">
        <f>S135-8</f>
        <v>53</v>
      </c>
      <c r="T136" s="19" t="s">
        <v>4740</v>
      </c>
      <c r="U136" s="215">
        <v>3120.5</v>
      </c>
      <c r="V136" s="99">
        <f t="shared" si="30"/>
        <v>3282.3214356164385</v>
      </c>
      <c r="W136" s="32">
        <f t="shared" si="28"/>
        <v>3347.9678643287675</v>
      </c>
      <c r="X136" s="32">
        <f t="shared" si="29"/>
        <v>3413.6142930410961</v>
      </c>
      <c r="Y136" t="s">
        <v>25</v>
      </c>
      <c r="AH136" s="89">
        <v>116</v>
      </c>
      <c r="AI136" s="90" t="s">
        <v>4722</v>
      </c>
      <c r="AJ136" s="90">
        <v>4291628</v>
      </c>
      <c r="AK136" s="89">
        <v>2</v>
      </c>
      <c r="AL136" s="89">
        <f t="shared" si="35"/>
        <v>51</v>
      </c>
      <c r="AM136" s="90">
        <f t="shared" si="32"/>
        <v>218873028</v>
      </c>
      <c r="AN136" s="89" t="s">
        <v>4724</v>
      </c>
    </row>
    <row r="137" spans="6:44">
      <c r="F137" s="1">
        <v>3775.1</v>
      </c>
      <c r="G137" s="1">
        <f>P46</f>
        <v>3880.9</v>
      </c>
      <c r="H137" s="215" t="s">
        <v>4391</v>
      </c>
      <c r="I137" s="215">
        <v>1000</v>
      </c>
      <c r="J137" s="1">
        <f>I137*G137</f>
        <v>3880900</v>
      </c>
      <c r="K137" s="246" t="s">
        <v>4571</v>
      </c>
      <c r="Q137" s="117">
        <v>18565999</v>
      </c>
      <c r="R137" s="19" t="s">
        <v>4741</v>
      </c>
      <c r="S137" s="19">
        <f>S136-1</f>
        <v>52</v>
      </c>
      <c r="T137" s="19" t="s">
        <v>4749</v>
      </c>
      <c r="U137" s="215">
        <v>3112.4</v>
      </c>
      <c r="V137" s="99">
        <f t="shared" si="30"/>
        <v>3271.4137950684931</v>
      </c>
      <c r="W137" s="32">
        <f t="shared" si="28"/>
        <v>3336.842070969863</v>
      </c>
      <c r="X137" s="32">
        <f t="shared" si="29"/>
        <v>3402.270346871233</v>
      </c>
      <c r="Y137" t="s">
        <v>25</v>
      </c>
      <c r="Z137" t="s">
        <v>25</v>
      </c>
      <c r="AH137" s="20">
        <v>117</v>
      </c>
      <c r="AI137" s="117" t="s">
        <v>4729</v>
      </c>
      <c r="AJ137" s="117">
        <v>1000</v>
      </c>
      <c r="AK137" s="20">
        <v>5</v>
      </c>
      <c r="AL137" s="20">
        <f t="shared" si="35"/>
        <v>49</v>
      </c>
      <c r="AM137" s="117">
        <f t="shared" si="32"/>
        <v>49000</v>
      </c>
      <c r="AN137" s="20"/>
      <c r="AQ137" t="s">
        <v>25</v>
      </c>
    </row>
    <row r="138" spans="6:44">
      <c r="F138" s="1">
        <v>6250.1</v>
      </c>
      <c r="G138" s="1">
        <f>P50</f>
        <v>6336.2</v>
      </c>
      <c r="H138" s="215" t="s">
        <v>4967</v>
      </c>
      <c r="I138" s="215">
        <v>1000</v>
      </c>
      <c r="J138" s="1">
        <f t="shared" ref="J138:J140" si="36">I138*G138</f>
        <v>6336200</v>
      </c>
      <c r="Q138" s="117">
        <v>5924703</v>
      </c>
      <c r="R138" s="19" t="s">
        <v>4752</v>
      </c>
      <c r="S138" s="19">
        <f>S137-3</f>
        <v>49</v>
      </c>
      <c r="T138" s="19" t="s">
        <v>4850</v>
      </c>
      <c r="U138" s="215">
        <v>489</v>
      </c>
      <c r="V138" s="99">
        <f t="shared" si="30"/>
        <v>512.85784109589042</v>
      </c>
      <c r="W138" s="32">
        <f t="shared" si="28"/>
        <v>523.1149979178083</v>
      </c>
      <c r="X138" s="32">
        <f t="shared" si="29"/>
        <v>533.37215473972606</v>
      </c>
      <c r="Y138" t="s">
        <v>25</v>
      </c>
      <c r="AH138" s="121">
        <v>118</v>
      </c>
      <c r="AI138" s="79" t="s">
        <v>4737</v>
      </c>
      <c r="AJ138" s="79">
        <v>8739459</v>
      </c>
      <c r="AK138" s="121">
        <v>2</v>
      </c>
      <c r="AL138" s="121">
        <f t="shared" si="35"/>
        <v>44</v>
      </c>
      <c r="AM138" s="79">
        <f t="shared" si="32"/>
        <v>384536196</v>
      </c>
      <c r="AN138" s="121" t="s">
        <v>4669</v>
      </c>
    </row>
    <row r="139" spans="6:44">
      <c r="F139" s="1">
        <v>183</v>
      </c>
      <c r="G139" s="1">
        <f>P58</f>
        <v>206.5</v>
      </c>
      <c r="H139" s="215" t="s">
        <v>4243</v>
      </c>
      <c r="I139" s="215">
        <v>108344</v>
      </c>
      <c r="J139" s="1">
        <f t="shared" si="36"/>
        <v>22373036</v>
      </c>
      <c r="Q139" s="117">
        <v>164801</v>
      </c>
      <c r="R139" s="19" t="s">
        <v>4765</v>
      </c>
      <c r="S139" s="19">
        <f>S138-2</f>
        <v>47</v>
      </c>
      <c r="T139" s="19" t="s">
        <v>4770</v>
      </c>
      <c r="U139" s="215">
        <v>3095.1</v>
      </c>
      <c r="V139" s="99">
        <f t="shared" si="30"/>
        <v>3241.3583145205484</v>
      </c>
      <c r="W139" s="32">
        <f t="shared" si="28"/>
        <v>3306.1854808109597</v>
      </c>
      <c r="X139" s="32">
        <f t="shared" si="29"/>
        <v>3371.0126471013705</v>
      </c>
      <c r="AH139" s="121">
        <v>119</v>
      </c>
      <c r="AI139" s="79" t="s">
        <v>4738</v>
      </c>
      <c r="AJ139" s="79">
        <v>17595278</v>
      </c>
      <c r="AK139" s="121">
        <v>1</v>
      </c>
      <c r="AL139" s="121">
        <f t="shared" si="35"/>
        <v>42</v>
      </c>
      <c r="AM139" s="79">
        <f t="shared" si="32"/>
        <v>739001676</v>
      </c>
      <c r="AN139" s="121" t="s">
        <v>4742</v>
      </c>
    </row>
    <row r="140" spans="6:44">
      <c r="F140" s="1">
        <v>4485.1000000000004</v>
      </c>
      <c r="G140" s="1">
        <f>P52</f>
        <v>4597.5</v>
      </c>
      <c r="H140" s="215" t="s">
        <v>4538</v>
      </c>
      <c r="I140" s="215">
        <v>3</v>
      </c>
      <c r="J140" s="1">
        <f t="shared" si="36"/>
        <v>13792.5</v>
      </c>
      <c r="Q140" s="117">
        <v>223613</v>
      </c>
      <c r="R140" s="19" t="s">
        <v>4765</v>
      </c>
      <c r="S140" s="19">
        <f>S139</f>
        <v>47</v>
      </c>
      <c r="T140" s="19" t="s">
        <v>4771</v>
      </c>
      <c r="U140" s="215">
        <v>4637.1000000000004</v>
      </c>
      <c r="V140" s="99">
        <f t="shared" si="30"/>
        <v>4856.2252076712339</v>
      </c>
      <c r="W140" s="32">
        <f t="shared" si="28"/>
        <v>4953.3497118246587</v>
      </c>
      <c r="X140" s="32">
        <f t="shared" si="29"/>
        <v>5050.4742159780835</v>
      </c>
      <c r="AH140" s="121">
        <v>120</v>
      </c>
      <c r="AI140" s="79" t="s">
        <v>4741</v>
      </c>
      <c r="AJ140" s="79">
        <v>13335309</v>
      </c>
      <c r="AK140" s="121">
        <v>13</v>
      </c>
      <c r="AL140" s="121">
        <f t="shared" si="35"/>
        <v>41</v>
      </c>
      <c r="AM140" s="79">
        <f t="shared" si="32"/>
        <v>546747669</v>
      </c>
      <c r="AN140" s="121" t="s">
        <v>4686</v>
      </c>
    </row>
    <row r="141" spans="6:44">
      <c r="F141" s="215"/>
      <c r="G141" s="215"/>
      <c r="H141" s="215"/>
      <c r="I141" s="215"/>
      <c r="J141" s="1">
        <f>SUM(J137:J140)</f>
        <v>32603928.5</v>
      </c>
      <c r="Q141" s="117">
        <v>989631</v>
      </c>
      <c r="R141" s="19" t="s">
        <v>4765</v>
      </c>
      <c r="S141" s="19">
        <f>S140</f>
        <v>47</v>
      </c>
      <c r="T141" s="19" t="s">
        <v>4772</v>
      </c>
      <c r="U141" s="215">
        <v>3863</v>
      </c>
      <c r="V141" s="99">
        <f t="shared" si="30"/>
        <v>4045.5452712328774</v>
      </c>
      <c r="W141" s="32">
        <f t="shared" si="28"/>
        <v>4126.4561766575353</v>
      </c>
      <c r="X141" s="32">
        <f t="shared" si="29"/>
        <v>4207.3670820821926</v>
      </c>
      <c r="AA141" t="s">
        <v>25</v>
      </c>
      <c r="AH141" s="161">
        <v>121</v>
      </c>
      <c r="AI141" s="230" t="s">
        <v>4812</v>
      </c>
      <c r="AJ141" s="230">
        <v>50000000</v>
      </c>
      <c r="AK141" s="161">
        <v>11</v>
      </c>
      <c r="AL141" s="161">
        <f t="shared" si="35"/>
        <v>28</v>
      </c>
      <c r="AM141" s="230">
        <f t="shared" si="32"/>
        <v>1400000000</v>
      </c>
      <c r="AN141" s="161" t="s">
        <v>4815</v>
      </c>
      <c r="AP141" t="s">
        <v>25</v>
      </c>
    </row>
    <row r="142" spans="6:44">
      <c r="F142" s="215"/>
      <c r="G142" s="215"/>
      <c r="H142" s="215"/>
      <c r="I142" s="215"/>
      <c r="J142" s="215" t="s">
        <v>6</v>
      </c>
      <c r="Q142" s="117">
        <v>5001091</v>
      </c>
      <c r="R142" s="19" t="s">
        <v>4775</v>
      </c>
      <c r="S142" s="19">
        <f>S141-1</f>
        <v>46</v>
      </c>
      <c r="T142" s="19" t="s">
        <v>4776</v>
      </c>
      <c r="U142" s="215">
        <v>3125</v>
      </c>
      <c r="V142" s="99">
        <f t="shared" si="30"/>
        <v>3270.2739726027398</v>
      </c>
      <c r="W142" s="32">
        <f t="shared" si="28"/>
        <v>3335.6794520547946</v>
      </c>
      <c r="X142" s="32">
        <f t="shared" si="29"/>
        <v>3401.0849315068494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5"/>
        <v>17</v>
      </c>
      <c r="AM142" s="117">
        <f t="shared" si="32"/>
        <v>510000</v>
      </c>
      <c r="AN142" s="20"/>
    </row>
    <row r="143" spans="6:44">
      <c r="M143">
        <v>236</v>
      </c>
      <c r="N143">
        <v>3</v>
      </c>
      <c r="O143">
        <f>M143*N143</f>
        <v>708</v>
      </c>
      <c r="Q143" s="117">
        <v>12497226</v>
      </c>
      <c r="R143" s="19" t="s">
        <v>4812</v>
      </c>
      <c r="S143" s="19">
        <f>S142-7</f>
        <v>39</v>
      </c>
      <c r="T143" s="19" t="s">
        <v>4816</v>
      </c>
      <c r="U143" s="215">
        <v>3307.5</v>
      </c>
      <c r="V143" s="99">
        <f t="shared" si="30"/>
        <v>3443.4971506849315</v>
      </c>
      <c r="W143" s="32">
        <f t="shared" si="28"/>
        <v>3512.36709369863</v>
      </c>
      <c r="X143" s="32">
        <f t="shared" si="29"/>
        <v>3581.237036712329</v>
      </c>
      <c r="AH143" s="20">
        <v>123</v>
      </c>
      <c r="AI143" s="117" t="s">
        <v>4890</v>
      </c>
      <c r="AJ143" s="117">
        <v>600000</v>
      </c>
      <c r="AK143" s="20">
        <v>1</v>
      </c>
      <c r="AL143" s="20">
        <f t="shared" si="35"/>
        <v>14</v>
      </c>
      <c r="AM143" s="117">
        <f t="shared" si="32"/>
        <v>8400000</v>
      </c>
      <c r="AN143" s="20"/>
      <c r="AR143" t="s">
        <v>25</v>
      </c>
    </row>
    <row r="144" spans="6:44">
      <c r="M144">
        <v>126</v>
      </c>
      <c r="N144">
        <v>1</v>
      </c>
      <c r="O144">
        <f>M144*N144</f>
        <v>126</v>
      </c>
      <c r="Q144" s="117">
        <v>24695044</v>
      </c>
      <c r="R144" s="19" t="s">
        <v>4812</v>
      </c>
      <c r="S144" s="19">
        <f>S143</f>
        <v>39</v>
      </c>
      <c r="T144" s="19" t="s">
        <v>4817</v>
      </c>
      <c r="U144" s="215">
        <v>5249.5</v>
      </c>
      <c r="V144" s="99">
        <f t="shared" si="30"/>
        <v>5465.3479342465753</v>
      </c>
      <c r="W144" s="32">
        <f t="shared" si="28"/>
        <v>5574.6548929315068</v>
      </c>
      <c r="X144" s="32">
        <f t="shared" si="29"/>
        <v>5683.9618516164383</v>
      </c>
      <c r="AH144" s="20">
        <v>124</v>
      </c>
      <c r="AI144" s="117" t="s">
        <v>4899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10:44">
      <c r="L145">
        <v>821</v>
      </c>
      <c r="M145">
        <v>590</v>
      </c>
      <c r="N145">
        <v>0</v>
      </c>
      <c r="O145" s="96">
        <f>M145*N145</f>
        <v>0</v>
      </c>
      <c r="Q145" s="117">
        <v>529210</v>
      </c>
      <c r="R145" s="19" t="s">
        <v>4812</v>
      </c>
      <c r="S145" s="19">
        <f>S144</f>
        <v>39</v>
      </c>
      <c r="T145" s="19" t="s">
        <v>4818</v>
      </c>
      <c r="U145" s="215">
        <v>4051</v>
      </c>
      <c r="V145" s="99">
        <f t="shared" si="30"/>
        <v>4217.5682410958907</v>
      </c>
      <c r="W145" s="32">
        <f t="shared" si="28"/>
        <v>4301.9196059178084</v>
      </c>
      <c r="X145" s="32">
        <f t="shared" si="29"/>
        <v>4386.2709707397262</v>
      </c>
      <c r="AH145" s="20">
        <v>125</v>
      </c>
      <c r="AI145" s="117" t="s">
        <v>4906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10:44">
      <c r="Q146" s="117">
        <v>5416530</v>
      </c>
      <c r="R146" s="19" t="s">
        <v>4824</v>
      </c>
      <c r="S146" s="19">
        <f>S145-1</f>
        <v>38</v>
      </c>
      <c r="T146" s="19" t="s">
        <v>4885</v>
      </c>
      <c r="U146" s="215">
        <v>5235</v>
      </c>
      <c r="V146" s="99">
        <f t="shared" si="30"/>
        <v>5446.2358356164386</v>
      </c>
      <c r="W146" s="32">
        <f t="shared" si="28"/>
        <v>5555.1605523287672</v>
      </c>
      <c r="X146" s="32">
        <f t="shared" si="29"/>
        <v>5664.0852690410966</v>
      </c>
      <c r="AH146" s="23">
        <v>126</v>
      </c>
      <c r="AI146" s="35" t="s">
        <v>4914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4893</v>
      </c>
    </row>
    <row r="147" spans="10:44">
      <c r="J147" t="s">
        <v>25</v>
      </c>
      <c r="O147">
        <f>O143+O144+O145</f>
        <v>834</v>
      </c>
      <c r="Q147" s="117">
        <v>153812</v>
      </c>
      <c r="R147" s="19" t="s">
        <v>4856</v>
      </c>
      <c r="S147" s="19">
        <f>S146-6</f>
        <v>32</v>
      </c>
      <c r="T147" s="19" t="s">
        <v>4857</v>
      </c>
      <c r="U147" s="215">
        <v>537.20000000000005</v>
      </c>
      <c r="V147" s="99">
        <f t="shared" si="30"/>
        <v>556.40379616438372</v>
      </c>
      <c r="W147" s="32">
        <f t="shared" si="28"/>
        <v>567.53187208767145</v>
      </c>
      <c r="X147" s="32">
        <f t="shared" si="29"/>
        <v>578.65994801095906</v>
      </c>
      <c r="Y147" s="96"/>
      <c r="Z147" s="96"/>
      <c r="AH147" s="20">
        <v>127</v>
      </c>
      <c r="AI147" s="117" t="s">
        <v>4925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10:44">
      <c r="Q148" s="117">
        <v>1837912</v>
      </c>
      <c r="R148" s="19" t="s">
        <v>4860</v>
      </c>
      <c r="S148" s="19">
        <f>S147-1</f>
        <v>31</v>
      </c>
      <c r="T148" s="19" t="s">
        <v>4861</v>
      </c>
      <c r="U148" s="215">
        <v>296.60000000000002</v>
      </c>
      <c r="V148" s="99">
        <f t="shared" si="30"/>
        <v>306.97531178082198</v>
      </c>
      <c r="W148" s="32">
        <f t="shared" si="28"/>
        <v>313.11481801643845</v>
      </c>
      <c r="X148" s="32">
        <f t="shared" si="29"/>
        <v>319.25432425205486</v>
      </c>
      <c r="Y148" s="96"/>
      <c r="Z148" s="96"/>
      <c r="AH148" s="99">
        <v>128</v>
      </c>
      <c r="AI148" s="113" t="s">
        <v>4939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10:44">
      <c r="Q149" s="117">
        <v>104025</v>
      </c>
      <c r="R149" s="19" t="s">
        <v>974</v>
      </c>
      <c r="S149" s="19">
        <f>S148-3</f>
        <v>28</v>
      </c>
      <c r="T149" s="19" t="s">
        <v>4878</v>
      </c>
      <c r="U149" s="215">
        <v>295</v>
      </c>
      <c r="V149" s="99">
        <f t="shared" si="30"/>
        <v>304.6404383561644</v>
      </c>
      <c r="W149" s="32">
        <f t="shared" si="28"/>
        <v>310.7332471232877</v>
      </c>
      <c r="X149" s="32">
        <f t="shared" si="29"/>
        <v>316.826055890411</v>
      </c>
      <c r="Y149" s="96"/>
      <c r="Z149" s="96"/>
      <c r="AH149" s="99">
        <v>129</v>
      </c>
      <c r="AI149" s="113" t="s">
        <v>4968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10:44">
      <c r="Q150" s="117">
        <v>10926171</v>
      </c>
      <c r="R150" s="19" t="s">
        <v>4887</v>
      </c>
      <c r="S150" s="19">
        <f>S149-2</f>
        <v>26</v>
      </c>
      <c r="T150" s="19" t="s">
        <v>4889</v>
      </c>
      <c r="U150" s="215">
        <v>5355.4</v>
      </c>
      <c r="V150" s="99">
        <f t="shared" si="30"/>
        <v>5522.1950334246576</v>
      </c>
      <c r="W150" s="32">
        <f t="shared" si="28"/>
        <v>5632.638934093151</v>
      </c>
      <c r="X150" s="32">
        <f t="shared" si="29"/>
        <v>5743.0828347616443</v>
      </c>
      <c r="Y150" s="96"/>
      <c r="Z150" s="96"/>
      <c r="AA150" s="114"/>
      <c r="AC150" s="114"/>
      <c r="AD150" s="114"/>
      <c r="AH150" s="99">
        <v>130</v>
      </c>
      <c r="AI150" s="113" t="s">
        <v>4970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4975</v>
      </c>
      <c r="AP150" t="s">
        <v>25</v>
      </c>
    </row>
    <row r="151" spans="10:44">
      <c r="Q151" s="117">
        <v>146418</v>
      </c>
      <c r="R151" s="19" t="s">
        <v>4890</v>
      </c>
      <c r="S151" s="19">
        <f>S150-1</f>
        <v>25</v>
      </c>
      <c r="T151" s="19" t="s">
        <v>4891</v>
      </c>
      <c r="U151" s="215">
        <v>304.89999999999998</v>
      </c>
      <c r="V151" s="99">
        <f t="shared" si="30"/>
        <v>314.16227726027398</v>
      </c>
      <c r="W151" s="32">
        <f t="shared" si="28"/>
        <v>320.44552280547947</v>
      </c>
      <c r="X151" s="32">
        <f t="shared" si="29"/>
        <v>326.72876835068496</v>
      </c>
      <c r="Y151" s="96"/>
      <c r="Z151" s="96"/>
      <c r="AA151" s="114"/>
      <c r="AC151" s="114"/>
      <c r="AH151" s="99">
        <v>131</v>
      </c>
      <c r="AI151" s="113" t="s">
        <v>4970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4974</v>
      </c>
    </row>
    <row r="152" spans="10:44">
      <c r="P152" s="114"/>
      <c r="Q152" s="169">
        <v>101344</v>
      </c>
      <c r="R152" s="215" t="s">
        <v>4914</v>
      </c>
      <c r="S152" s="215">
        <f>S151-5</f>
        <v>20</v>
      </c>
      <c r="T152" s="215" t="s">
        <v>4917</v>
      </c>
      <c r="U152" s="215">
        <v>113.6</v>
      </c>
      <c r="V152" s="99">
        <f t="shared" ref="V152:V164" si="41">U152*(1+$N$90+$Q$15*S152/36500)</f>
        <v>116.61522410958905</v>
      </c>
      <c r="W152" s="32">
        <f t="shared" si="28"/>
        <v>118.94752859178084</v>
      </c>
      <c r="X152" s="32">
        <f t="shared" si="29"/>
        <v>121.27983307397261</v>
      </c>
      <c r="Y152" s="96"/>
      <c r="Z152" s="96"/>
      <c r="AA152" s="114"/>
      <c r="AC152" s="114"/>
      <c r="AD152" s="114"/>
      <c r="AH152" s="99">
        <v>132</v>
      </c>
      <c r="AI152" s="113" t="s">
        <v>4993</v>
      </c>
      <c r="AJ152" s="113">
        <v>2520000</v>
      </c>
      <c r="AK152" s="99">
        <v>1</v>
      </c>
      <c r="AL152" s="20">
        <f t="shared" si="39"/>
        <v>1</v>
      </c>
      <c r="AM152" s="117">
        <f t="shared" si="40"/>
        <v>2520000</v>
      </c>
      <c r="AN152" s="20"/>
    </row>
    <row r="153" spans="10:44">
      <c r="Q153" s="169">
        <v>2148718</v>
      </c>
      <c r="R153" s="215" t="s">
        <v>4914</v>
      </c>
      <c r="S153" s="215">
        <f>S152</f>
        <v>20</v>
      </c>
      <c r="T153" s="215" t="s">
        <v>4918</v>
      </c>
      <c r="U153" s="215">
        <v>3400.3</v>
      </c>
      <c r="V153" s="99">
        <f t="shared" si="41"/>
        <v>3490.5523463013706</v>
      </c>
      <c r="W153" s="32">
        <f t="shared" si="28"/>
        <v>3560.3633932273979</v>
      </c>
      <c r="X153" s="32">
        <f t="shared" si="29"/>
        <v>3630.1744401534256</v>
      </c>
      <c r="Y153" s="96"/>
      <c r="Z153" s="96"/>
      <c r="AH153" s="99"/>
      <c r="AI153" s="113"/>
      <c r="AJ153" s="113"/>
      <c r="AK153" s="99"/>
      <c r="AL153" s="20">
        <f t="shared" si="39"/>
        <v>0</v>
      </c>
      <c r="AM153" s="117">
        <f t="shared" si="40"/>
        <v>0</v>
      </c>
      <c r="AN153" s="20"/>
    </row>
    <row r="154" spans="10:44">
      <c r="Q154" s="169">
        <v>119669</v>
      </c>
      <c r="R154" s="215" t="s">
        <v>981</v>
      </c>
      <c r="S154" s="215">
        <f>S153-2</f>
        <v>18</v>
      </c>
      <c r="T154" s="215" t="s">
        <v>4935</v>
      </c>
      <c r="U154" s="215">
        <v>3609.6</v>
      </c>
      <c r="V154" s="99">
        <f t="shared" si="41"/>
        <v>3699.8696679452055</v>
      </c>
      <c r="W154" s="32">
        <f t="shared" si="28"/>
        <v>3773.8670613041095</v>
      </c>
      <c r="X154" s="32">
        <f t="shared" si="29"/>
        <v>3847.8644546630139</v>
      </c>
      <c r="Y154" s="96"/>
      <c r="Z154" s="96"/>
      <c r="AH154" s="99"/>
      <c r="AI154" s="113"/>
      <c r="AJ154" s="113"/>
      <c r="AK154" s="99"/>
      <c r="AL154" s="20">
        <f t="shared" si="39"/>
        <v>0</v>
      </c>
      <c r="AM154" s="117">
        <f t="shared" si="40"/>
        <v>0</v>
      </c>
      <c r="AN154" s="20"/>
    </row>
    <row r="155" spans="10:44">
      <c r="Q155" s="169">
        <v>102362</v>
      </c>
      <c r="R155" s="215" t="s">
        <v>4939</v>
      </c>
      <c r="S155" s="215">
        <f>S154-8</f>
        <v>10</v>
      </c>
      <c r="T155" s="215" t="s">
        <v>4942</v>
      </c>
      <c r="U155" s="215">
        <v>4430</v>
      </c>
      <c r="V155" s="99">
        <f t="shared" si="41"/>
        <v>4513.5995616438358</v>
      </c>
      <c r="W155" s="32">
        <f t="shared" si="28"/>
        <v>4603.8715528767125</v>
      </c>
      <c r="X155" s="32">
        <f t="shared" si="29"/>
        <v>4694.1435441095891</v>
      </c>
      <c r="Y155" s="96"/>
      <c r="Z155" s="96"/>
      <c r="AH155" s="99"/>
      <c r="AI155" s="113"/>
      <c r="AJ155" s="113"/>
      <c r="AK155" s="99"/>
      <c r="AL155" s="20">
        <f t="shared" si="39"/>
        <v>0</v>
      </c>
      <c r="AM155" s="117">
        <f t="shared" si="40"/>
        <v>0</v>
      </c>
      <c r="AN155" s="20"/>
    </row>
    <row r="156" spans="10:44">
      <c r="Q156" s="169">
        <v>996877</v>
      </c>
      <c r="R156" s="215" t="s">
        <v>4968</v>
      </c>
      <c r="S156" s="215">
        <f>S155-10</f>
        <v>0</v>
      </c>
      <c r="T156" s="215" t="s">
        <v>4969</v>
      </c>
      <c r="U156" s="215">
        <v>4469.7</v>
      </c>
      <c r="V156" s="99">
        <f t="shared" si="41"/>
        <v>4519.7606400000004</v>
      </c>
      <c r="W156" s="32">
        <f t="shared" si="28"/>
        <v>4610.1558528000005</v>
      </c>
      <c r="X156" s="32">
        <f t="shared" si="29"/>
        <v>4700.5510656000006</v>
      </c>
      <c r="Y156" s="96"/>
      <c r="Z156" s="96"/>
      <c r="AH156" s="99"/>
      <c r="AI156" s="113"/>
      <c r="AJ156" s="113"/>
      <c r="AK156" s="99"/>
      <c r="AL156" s="20">
        <f t="shared" si="39"/>
        <v>0</v>
      </c>
      <c r="AM156" s="117">
        <f t="shared" si="40"/>
        <v>0</v>
      </c>
      <c r="AN156" s="20"/>
      <c r="AQ156" t="s">
        <v>25</v>
      </c>
    </row>
    <row r="157" spans="10:44">
      <c r="P157" s="114"/>
      <c r="Q157" s="169">
        <v>17086367</v>
      </c>
      <c r="R157" s="215" t="s">
        <v>4970</v>
      </c>
      <c r="S157" s="215">
        <f>S156-1</f>
        <v>-1</v>
      </c>
      <c r="T157" s="215" t="s">
        <v>4978</v>
      </c>
      <c r="U157" s="215">
        <v>3751.1</v>
      </c>
      <c r="V157" s="99">
        <f t="shared" si="41"/>
        <v>3790.2347638356168</v>
      </c>
      <c r="W157" s="32">
        <f t="shared" si="28"/>
        <v>3866.039459112329</v>
      </c>
      <c r="X157" s="32">
        <f t="shared" si="29"/>
        <v>3941.8441543890417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10:44">
      <c r="Q158" s="169">
        <v>26970108</v>
      </c>
      <c r="R158" s="215" t="s">
        <v>4970</v>
      </c>
      <c r="S158" s="215">
        <f>S157</f>
        <v>-1</v>
      </c>
      <c r="T158" s="215" t="s">
        <v>4979</v>
      </c>
      <c r="U158" s="215">
        <v>6110.2</v>
      </c>
      <c r="V158" s="99">
        <f t="shared" si="41"/>
        <v>6173.9469632876726</v>
      </c>
      <c r="W158" s="32">
        <f t="shared" si="28"/>
        <v>6297.4259025534266</v>
      </c>
      <c r="X158" s="32">
        <f t="shared" si="29"/>
        <v>6420.9048418191796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10:44">
      <c r="Q159" s="169">
        <v>27144082</v>
      </c>
      <c r="R159" s="215" t="s">
        <v>4970</v>
      </c>
      <c r="S159" s="215">
        <f>S158</f>
        <v>-1</v>
      </c>
      <c r="T159" s="215" t="s">
        <v>4980</v>
      </c>
      <c r="U159" s="215">
        <v>4568.6000000000004</v>
      </c>
      <c r="V159" s="99">
        <f t="shared" si="41"/>
        <v>4616.2636405479461</v>
      </c>
      <c r="W159" s="32">
        <f t="shared" si="28"/>
        <v>4708.5889133589053</v>
      </c>
      <c r="X159" s="32">
        <f t="shared" si="29"/>
        <v>4800.9141861698645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10:44">
      <c r="Q160" s="169">
        <v>6150141</v>
      </c>
      <c r="R160" s="215" t="s">
        <v>4970</v>
      </c>
      <c r="S160" s="215">
        <f>S159</f>
        <v>-1</v>
      </c>
      <c r="T160" s="215" t="s">
        <v>4981</v>
      </c>
      <c r="U160" s="215">
        <v>180.6</v>
      </c>
      <c r="V160" s="99">
        <f t="shared" si="41"/>
        <v>182.48417753424661</v>
      </c>
      <c r="W160" s="32">
        <f t="shared" si="28"/>
        <v>186.13386108493154</v>
      </c>
      <c r="X160" s="32">
        <f t="shared" si="29"/>
        <v>189.78354463561649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1664165</v>
      </c>
      <c r="R161" s="215" t="s">
        <v>4984</v>
      </c>
      <c r="S161" s="215">
        <f>S160-1</f>
        <v>-2</v>
      </c>
      <c r="T161" s="215" t="s">
        <v>4988</v>
      </c>
      <c r="U161" s="215">
        <v>4429.1000000000004</v>
      </c>
      <c r="V161" s="99">
        <f t="shared" si="41"/>
        <v>4471.9105884931514</v>
      </c>
      <c r="W161" s="32">
        <f t="shared" si="28"/>
        <v>4561.3488002630147</v>
      </c>
      <c r="X161" s="32">
        <f t="shared" si="29"/>
        <v>4650.787012032878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Q162" s="169">
        <v>2521445</v>
      </c>
      <c r="R162" s="215" t="s">
        <v>4993</v>
      </c>
      <c r="S162" s="215">
        <f>S161-5</f>
        <v>-7</v>
      </c>
      <c r="T162" s="215" t="s">
        <v>4997</v>
      </c>
      <c r="U162" s="215">
        <v>4450</v>
      </c>
      <c r="V162" s="99">
        <f t="shared" si="41"/>
        <v>4475.9441095890415</v>
      </c>
      <c r="W162" s="32">
        <f t="shared" si="28"/>
        <v>4565.4629917808224</v>
      </c>
      <c r="X162" s="32">
        <f t="shared" si="29"/>
        <v>4654.9818739726034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F163" t="s">
        <v>4894</v>
      </c>
      <c r="G163">
        <v>1200</v>
      </c>
      <c r="H163" t="s">
        <v>4895</v>
      </c>
      <c r="Q163" s="169">
        <v>162112</v>
      </c>
      <c r="R163" s="215" t="s">
        <v>5000</v>
      </c>
      <c r="S163" s="215">
        <f>S162-1</f>
        <v>-8</v>
      </c>
      <c r="T163" s="215" t="s">
        <v>5003</v>
      </c>
      <c r="U163" s="215">
        <v>632.79999999999995</v>
      </c>
      <c r="V163" s="99">
        <f t="shared" si="41"/>
        <v>636.00387506849324</v>
      </c>
      <c r="W163" s="32">
        <f t="shared" si="28"/>
        <v>648.72395256986317</v>
      </c>
      <c r="X163" s="32">
        <f t="shared" si="29"/>
        <v>661.44403007123299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G164">
        <v>1350</v>
      </c>
      <c r="H164" t="s">
        <v>4896</v>
      </c>
      <c r="Q164" s="169"/>
      <c r="R164" s="168"/>
      <c r="S164" s="168"/>
      <c r="T164" s="168"/>
      <c r="U164" s="168"/>
      <c r="V164" s="99">
        <f t="shared" si="41"/>
        <v>0</v>
      </c>
      <c r="W164" s="32">
        <f t="shared" si="28"/>
        <v>0</v>
      </c>
      <c r="X164" s="32">
        <f t="shared" si="29"/>
        <v>0</v>
      </c>
      <c r="AH164" s="99"/>
      <c r="AI164" s="113"/>
      <c r="AJ164" s="113"/>
      <c r="AK164" s="99"/>
      <c r="AL164" s="99">
        <f t="shared" si="35"/>
        <v>0</v>
      </c>
      <c r="AM164" s="117">
        <f t="shared" si="32"/>
        <v>0</v>
      </c>
      <c r="AN164" s="99"/>
    </row>
    <row r="165" spans="6:40">
      <c r="G165">
        <v>1050</v>
      </c>
      <c r="H165" t="s">
        <v>4897</v>
      </c>
      <c r="Q165" s="113">
        <f>SUM(N46:N59)-SUM(Q88:Q164)</f>
        <v>94501906.5</v>
      </c>
      <c r="R165" s="112"/>
      <c r="S165" s="112"/>
      <c r="T165" s="112"/>
      <c r="U165" s="168"/>
      <c r="V165" s="99" t="s">
        <v>25</v>
      </c>
      <c r="W165" s="32"/>
      <c r="X165" s="32"/>
      <c r="AH165" s="99"/>
      <c r="AI165" s="99"/>
      <c r="AJ165" s="95">
        <f>SUM(AJ20:AJ164)</f>
        <v>576564113</v>
      </c>
      <c r="AK165" s="99"/>
      <c r="AL165" s="99"/>
      <c r="AM165" s="95">
        <f>SUM(AM20:AM164)</f>
        <v>64706092117</v>
      </c>
      <c r="AN165" s="95">
        <f>AM165*AN168/31</f>
        <v>34788917.332710937</v>
      </c>
    </row>
    <row r="166" spans="6:40">
      <c r="P166" s="114"/>
      <c r="Q166" s="26"/>
      <c r="R166" s="181"/>
      <c r="S166" s="181"/>
      <c r="T166" t="s">
        <v>25</v>
      </c>
      <c r="U166" s="96" t="s">
        <v>25</v>
      </c>
      <c r="V166" s="96" t="s">
        <v>25</v>
      </c>
      <c r="W166" s="9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P167" s="114"/>
      <c r="R167" s="32" t="s">
        <v>4573</v>
      </c>
      <c r="S167" s="32" t="s">
        <v>950</v>
      </c>
      <c r="T167" t="s">
        <v>25</v>
      </c>
      <c r="U167" s="96" t="s">
        <v>25</v>
      </c>
      <c r="V167" s="96" t="s">
        <v>25</v>
      </c>
      <c r="W167" s="96" t="s">
        <v>25</v>
      </c>
      <c r="X167" s="122" t="s">
        <v>25</v>
      </c>
      <c r="AH167" s="99"/>
      <c r="AI167" s="99"/>
      <c r="AJ167" s="99"/>
      <c r="AK167" s="99"/>
      <c r="AL167" s="99"/>
      <c r="AM167" s="99"/>
      <c r="AN167" s="99"/>
    </row>
    <row r="168" spans="6:40">
      <c r="O168" s="96">
        <v>68796</v>
      </c>
      <c r="P168" s="114"/>
      <c r="R168" s="32">
        <v>2480</v>
      </c>
      <c r="S168" s="237">
        <v>13041741</v>
      </c>
      <c r="U168" s="96" t="s">
        <v>25</v>
      </c>
      <c r="V168" s="122" t="s">
        <v>25</v>
      </c>
      <c r="W168" s="96" t="s">
        <v>25</v>
      </c>
      <c r="X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O169" s="96">
        <v>154791</v>
      </c>
      <c r="P169">
        <f>R176+8424</f>
        <v>1673729</v>
      </c>
      <c r="Q169" t="s">
        <v>25</v>
      </c>
      <c r="R169" s="32">
        <v>1450</v>
      </c>
      <c r="S169" s="1">
        <f>S168*R169/R168</f>
        <v>7625211.4717741935</v>
      </c>
      <c r="U169" s="96" t="s">
        <v>25</v>
      </c>
      <c r="V169" s="122" t="s">
        <v>25</v>
      </c>
      <c r="W169" s="96" t="s">
        <v>25</v>
      </c>
      <c r="X169" t="s">
        <v>25</v>
      </c>
      <c r="AH169" s="99"/>
      <c r="AI169" s="99"/>
      <c r="AJ169" s="99"/>
      <c r="AK169" s="99"/>
      <c r="AL169" s="99"/>
      <c r="AM169" s="99"/>
      <c r="AN169" s="99"/>
    </row>
    <row r="170" spans="6:40">
      <c r="R170" s="32">
        <f>R168-R169</f>
        <v>1030</v>
      </c>
      <c r="S170" s="1">
        <f>R170*S168/R168</f>
        <v>5416529.5282258065</v>
      </c>
      <c r="V170" s="96"/>
      <c r="W170"/>
      <c r="X170" t="s">
        <v>25</v>
      </c>
      <c r="AH170" s="99"/>
      <c r="AI170" s="99" t="s">
        <v>4061</v>
      </c>
      <c r="AJ170" s="95">
        <f>AJ165+AN165</f>
        <v>611353030.33271098</v>
      </c>
      <c r="AK170" s="99"/>
      <c r="AL170" s="99"/>
      <c r="AM170" s="99"/>
      <c r="AN170" s="99"/>
    </row>
    <row r="171" spans="6:40">
      <c r="P171" s="114"/>
      <c r="V171" s="96"/>
      <c r="W171"/>
      <c r="AI171" t="s">
        <v>4064</v>
      </c>
      <c r="AJ171" s="114">
        <f>SUM(N44:N59)</f>
        <v>738278552.5</v>
      </c>
    </row>
    <row r="172" spans="6:40">
      <c r="Q172" s="99" t="s">
        <v>4463</v>
      </c>
      <c r="R172" s="99" t="s">
        <v>4465</v>
      </c>
      <c r="S172" s="99"/>
      <c r="T172" s="99" t="s">
        <v>4466</v>
      </c>
      <c r="U172" s="99"/>
      <c r="V172" s="99"/>
      <c r="W172" s="99" t="s">
        <v>4576</v>
      </c>
      <c r="AI172" t="s">
        <v>4136</v>
      </c>
      <c r="AJ172" s="114">
        <f>AJ171-AJ165</f>
        <v>161714439.5</v>
      </c>
      <c r="AM172" t="s">
        <v>25</v>
      </c>
    </row>
    <row r="173" spans="6:40">
      <c r="P173" s="114"/>
      <c r="Q173" s="113">
        <v>1000</v>
      </c>
      <c r="R173" s="99">
        <v>0.25</v>
      </c>
      <c r="S173" s="99"/>
      <c r="T173" s="99">
        <f>1-R173</f>
        <v>0.75</v>
      </c>
      <c r="U173" s="99"/>
      <c r="V173" s="99"/>
      <c r="W173" s="99"/>
      <c r="AI173" t="s">
        <v>943</v>
      </c>
      <c r="AJ173" s="114">
        <f>AN165</f>
        <v>34788917.332710937</v>
      </c>
      <c r="AN173" t="s">
        <v>25</v>
      </c>
    </row>
    <row r="174" spans="6:40">
      <c r="P174" s="114"/>
      <c r="Q174" s="168" t="s">
        <v>4450</v>
      </c>
      <c r="R174" s="168" t="s">
        <v>4468</v>
      </c>
      <c r="S174" s="168" t="s">
        <v>4470</v>
      </c>
      <c r="T174" s="168"/>
      <c r="U174" s="168" t="s">
        <v>4464</v>
      </c>
      <c r="V174" s="56" t="s">
        <v>4467</v>
      </c>
      <c r="W174" s="99"/>
      <c r="X174" s="115"/>
      <c r="AI174" t="s">
        <v>4065</v>
      </c>
      <c r="AJ174" s="114">
        <f>AJ171-AJ170</f>
        <v>126925522.16728902</v>
      </c>
      <c r="AN174" t="s">
        <v>25</v>
      </c>
    </row>
    <row r="175" spans="6:40">
      <c r="Q175" s="168" t="s">
        <v>751</v>
      </c>
      <c r="R175" s="56">
        <v>1722368</v>
      </c>
      <c r="S175" s="113">
        <f>R175*$T$257</f>
        <v>538101242.10810852</v>
      </c>
      <c r="T175" s="168"/>
      <c r="U175" s="168">
        <f>$Q$173*$T$173*S175/$R$199</f>
        <v>365.19629877785042</v>
      </c>
      <c r="V175" s="95">
        <f>S175+U175</f>
        <v>538101607.30440724</v>
      </c>
      <c r="W175" s="99">
        <f>R175*100/U254</f>
        <v>48.692839837046712</v>
      </c>
      <c r="X175" s="219"/>
      <c r="Y175" t="s">
        <v>25</v>
      </c>
      <c r="AM175" t="s">
        <v>25</v>
      </c>
    </row>
    <row r="176" spans="6:40">
      <c r="Q176" s="168" t="s">
        <v>4452</v>
      </c>
      <c r="R176" s="56">
        <v>1665305</v>
      </c>
      <c r="S176" s="113">
        <f>R176*$T$257</f>
        <v>520273651.7334528</v>
      </c>
      <c r="T176" s="168"/>
      <c r="U176" s="215">
        <f>$Q$173*$T$173*S176/$R$199</f>
        <v>353.09714435953765</v>
      </c>
      <c r="V176" s="95">
        <f t="shared" ref="V176:V177" si="42">S176+U176</f>
        <v>520274004.83059716</v>
      </c>
      <c r="W176" s="99">
        <f>R176*100/U254</f>
        <v>47.079619247938346</v>
      </c>
      <c r="X176" s="115"/>
      <c r="AJ176" t="s">
        <v>25</v>
      </c>
    </row>
    <row r="177" spans="16:44">
      <c r="Q177" s="168" t="s">
        <v>4451</v>
      </c>
      <c r="R177" s="56">
        <v>47604</v>
      </c>
      <c r="S177" s="113">
        <f>R177*$T$257</f>
        <v>14872414.913255701</v>
      </c>
      <c r="T177" s="168"/>
      <c r="U177" s="215">
        <f>$Q$173*$T$173*S177/$R$199</f>
        <v>10.093548305020059</v>
      </c>
      <c r="V177" s="95">
        <f t="shared" si="42"/>
        <v>14872425.006804006</v>
      </c>
      <c r="W177" s="99">
        <f>R177*100/U254</f>
        <v>1.3458064406693411</v>
      </c>
      <c r="X177" s="115"/>
    </row>
    <row r="178" spans="16:44">
      <c r="Q178" s="168" t="s">
        <v>1087</v>
      </c>
      <c r="R178" s="56">
        <v>101933</v>
      </c>
      <c r="S178" s="113">
        <f>R178*$T$257</f>
        <v>31845850.54518304</v>
      </c>
      <c r="T178" s="168"/>
      <c r="U178" s="215">
        <f>$Q$173*$T$173*S178/$R$199</f>
        <v>21.613008557592</v>
      </c>
      <c r="V178" s="95">
        <f>S178+U178</f>
        <v>31845872.158191599</v>
      </c>
      <c r="W178" s="99">
        <f>R178*100/U254</f>
        <v>2.8817344743455999</v>
      </c>
      <c r="X178" s="115"/>
    </row>
    <row r="179" spans="16:44">
      <c r="Q179" s="168"/>
      <c r="R179" s="56"/>
      <c r="S179" s="168"/>
      <c r="T179" s="168"/>
      <c r="U179" s="168"/>
      <c r="V179" s="168"/>
      <c r="W179" s="99"/>
      <c r="X179" s="96"/>
    </row>
    <row r="180" spans="16:44">
      <c r="Q180" s="168"/>
      <c r="R180" s="168"/>
      <c r="S180" s="168"/>
      <c r="T180" s="168"/>
      <c r="U180" s="168"/>
      <c r="V180" s="168"/>
      <c r="W180" s="99"/>
      <c r="X180" s="96"/>
    </row>
    <row r="181" spans="16:44">
      <c r="P181" s="114"/>
      <c r="Q181" s="99"/>
      <c r="R181" s="99"/>
      <c r="S181" s="99"/>
      <c r="T181" s="99" t="s">
        <v>25</v>
      </c>
      <c r="U181" s="99"/>
      <c r="V181" s="99"/>
      <c r="W181" s="99"/>
      <c r="X181" s="96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99"/>
      <c r="R182" s="99"/>
      <c r="S182" s="99"/>
      <c r="T182" s="99"/>
      <c r="U182" s="99"/>
      <c r="V182" s="99"/>
      <c r="W182" s="99"/>
      <c r="X182" s="96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255</v>
      </c>
      <c r="AM182" s="99">
        <f>AJ182*AL182</f>
        <v>906734100</v>
      </c>
      <c r="AN182" s="99" t="s">
        <v>4313</v>
      </c>
      <c r="AR182" t="s">
        <v>25</v>
      </c>
    </row>
    <row r="183" spans="16:44">
      <c r="Q183" s="99"/>
      <c r="R183" s="99"/>
      <c r="S183" s="99"/>
      <c r="T183" s="99"/>
      <c r="U183" s="99"/>
      <c r="V183" s="99"/>
      <c r="W183" s="99"/>
      <c r="X183" s="96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3">AK183+AL184</f>
        <v>253</v>
      </c>
      <c r="AM183" s="99">
        <f t="shared" ref="AM183:AM211" si="44">AJ183*AL183</f>
        <v>435371761</v>
      </c>
      <c r="AN183" s="99" t="s">
        <v>4314</v>
      </c>
    </row>
    <row r="184" spans="16:44">
      <c r="Q184" s="96"/>
      <c r="R184" s="96"/>
      <c r="S184" s="96"/>
      <c r="T184" s="96"/>
      <c r="V184" s="96"/>
      <c r="X184" s="115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3"/>
        <v>202</v>
      </c>
      <c r="AM184" s="99">
        <f t="shared" si="44"/>
        <v>30300000</v>
      </c>
      <c r="AN184" s="99"/>
    </row>
    <row r="185" spans="16:44">
      <c r="Q185" s="96"/>
      <c r="R185" s="96"/>
      <c r="S185" s="96"/>
      <c r="T185" s="96"/>
      <c r="V185" s="96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3"/>
        <v>199</v>
      </c>
      <c r="AM185" s="99">
        <f t="shared" si="44"/>
        <v>-18905000</v>
      </c>
      <c r="AN185" s="99"/>
    </row>
    <row r="186" spans="16:44">
      <c r="Q186" s="96"/>
      <c r="R186" s="96"/>
      <c r="S186" s="96"/>
      <c r="T186" s="96" t="s">
        <v>25</v>
      </c>
      <c r="V186" s="96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3"/>
        <v>191</v>
      </c>
      <c r="AM186" s="99">
        <f t="shared" si="44"/>
        <v>601650000</v>
      </c>
      <c r="AN186" s="99"/>
    </row>
    <row r="187" spans="16:44">
      <c r="Q187" s="96"/>
      <c r="R187" s="96"/>
      <c r="S187" s="96"/>
      <c r="T187" s="96"/>
      <c r="V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3"/>
        <v>175</v>
      </c>
      <c r="AM187" s="99">
        <f t="shared" si="44"/>
        <v>-11375000</v>
      </c>
      <c r="AN187" s="99"/>
    </row>
    <row r="188" spans="16:44">
      <c r="Q188" s="96"/>
      <c r="R188" s="96"/>
      <c r="S188" s="96"/>
      <c r="T188" s="99" t="s">
        <v>180</v>
      </c>
      <c r="U188" s="99" t="s">
        <v>4486</v>
      </c>
      <c r="V188" s="99" t="s">
        <v>4487</v>
      </c>
      <c r="W188" s="99" t="s">
        <v>4497</v>
      </c>
      <c r="X188" s="99" t="s">
        <v>8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3"/>
        <v>174</v>
      </c>
      <c r="AM188" s="99">
        <f t="shared" si="44"/>
        <v>-16530000</v>
      </c>
      <c r="AN188" s="99"/>
    </row>
    <row r="189" spans="16:44">
      <c r="Q189" s="36" t="s">
        <v>4572</v>
      </c>
      <c r="R189" s="95">
        <f>SUM(N46:N59)</f>
        <v>738278481.5</v>
      </c>
      <c r="T189" s="113" t="s">
        <v>4462</v>
      </c>
      <c r="U189" s="56">
        <v>1000000</v>
      </c>
      <c r="V189" s="113">
        <v>239.024</v>
      </c>
      <c r="W189" s="113">
        <f t="shared" ref="W189:W250" si="45">U189*V189</f>
        <v>239024000</v>
      </c>
      <c r="X189" s="99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3"/>
        <v>168</v>
      </c>
      <c r="AM189" s="99">
        <f t="shared" si="44"/>
        <v>38976000</v>
      </c>
      <c r="AN189" s="99"/>
    </row>
    <row r="190" spans="16:44">
      <c r="Q190" s="99" t="s">
        <v>4453</v>
      </c>
      <c r="R190" s="95">
        <f>SUM(N21:N26)</f>
        <v>328293700.70000005</v>
      </c>
      <c r="T190" s="168" t="s">
        <v>4444</v>
      </c>
      <c r="U190" s="56">
        <v>5904</v>
      </c>
      <c r="V190" s="113">
        <v>237.148</v>
      </c>
      <c r="W190" s="113">
        <f t="shared" si="45"/>
        <v>1400121.7919999999</v>
      </c>
      <c r="X190" s="99" t="s">
        <v>751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3"/>
        <v>161</v>
      </c>
      <c r="AM190" s="99">
        <f t="shared" si="44"/>
        <v>2093000000</v>
      </c>
      <c r="AN190" s="99"/>
    </row>
    <row r="191" spans="16:44">
      <c r="Q191" s="99" t="s">
        <v>4454</v>
      </c>
      <c r="R191" s="95">
        <f>SUM(N29:N33)</f>
        <v>38328730.100000001</v>
      </c>
      <c r="T191" s="168" t="s">
        <v>4232</v>
      </c>
      <c r="U191" s="168">
        <v>1000</v>
      </c>
      <c r="V191" s="113">
        <v>247.393</v>
      </c>
      <c r="W191" s="113">
        <f t="shared" si="45"/>
        <v>247393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3"/>
        <v>159</v>
      </c>
      <c r="AM191" s="99">
        <f t="shared" si="44"/>
        <v>1590000000</v>
      </c>
      <c r="AN191" s="99"/>
    </row>
    <row r="192" spans="16:44">
      <c r="Q192" s="99" t="s">
        <v>4455</v>
      </c>
      <c r="R192" s="95">
        <f>N44</f>
        <v>71</v>
      </c>
      <c r="T192" s="168" t="s">
        <v>4498</v>
      </c>
      <c r="U192" s="168">
        <v>8071</v>
      </c>
      <c r="V192" s="113">
        <v>247.797</v>
      </c>
      <c r="W192" s="113">
        <f t="shared" si="45"/>
        <v>1999969.5870000001</v>
      </c>
      <c r="X192" s="99" t="s">
        <v>4451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3"/>
        <v>156</v>
      </c>
      <c r="AM192" s="99">
        <f t="shared" si="44"/>
        <v>530400000</v>
      </c>
      <c r="AN192" s="99"/>
    </row>
    <row r="193" spans="16:44">
      <c r="Q193" s="99" t="s">
        <v>4456</v>
      </c>
      <c r="R193" s="95">
        <f>N20</f>
        <v>484</v>
      </c>
      <c r="T193" s="168" t="s">
        <v>4498</v>
      </c>
      <c r="U193" s="168">
        <v>53672</v>
      </c>
      <c r="V193" s="113">
        <v>247.797</v>
      </c>
      <c r="W193" s="113">
        <f t="shared" si="45"/>
        <v>13299760.584000001</v>
      </c>
      <c r="X193" s="99" t="s">
        <v>452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147</v>
      </c>
      <c r="AM193" s="99">
        <f t="shared" si="44"/>
        <v>-1284267558</v>
      </c>
      <c r="AN193" s="99"/>
    </row>
    <row r="194" spans="16:44">
      <c r="Q194" s="99" t="s">
        <v>4457</v>
      </c>
      <c r="R194" s="95">
        <f>N28</f>
        <v>417</v>
      </c>
      <c r="T194" s="168" t="s">
        <v>4506</v>
      </c>
      <c r="U194" s="168">
        <v>4099</v>
      </c>
      <c r="V194" s="113">
        <v>243.93</v>
      </c>
      <c r="W194" s="113">
        <f t="shared" si="45"/>
        <v>999869.07000000007</v>
      </c>
      <c r="X194" s="99" t="s">
        <v>4451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6">AK194+AL195</f>
        <v>146</v>
      </c>
      <c r="AM194" s="99">
        <f t="shared" si="44"/>
        <v>81030000</v>
      </c>
      <c r="AN194" s="99"/>
    </row>
    <row r="195" spans="16:44">
      <c r="Q195" s="99" t="s">
        <v>4469</v>
      </c>
      <c r="R195" s="95">
        <v>0</v>
      </c>
      <c r="T195" s="168" t="s">
        <v>4506</v>
      </c>
      <c r="U195" s="168">
        <v>9301</v>
      </c>
      <c r="V195" s="113">
        <v>243.93</v>
      </c>
      <c r="W195" s="113">
        <f t="shared" si="45"/>
        <v>2268792.9300000002</v>
      </c>
      <c r="X195" s="99" t="s">
        <v>452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6"/>
        <v>141</v>
      </c>
      <c r="AM195" s="99">
        <f t="shared" si="44"/>
        <v>-63211428</v>
      </c>
      <c r="AN195" s="99"/>
    </row>
    <row r="196" spans="16:44">
      <c r="Q196" s="99" t="s">
        <v>4898</v>
      </c>
      <c r="R196" s="95">
        <v>0</v>
      </c>
      <c r="T196" s="168" t="s">
        <v>4512</v>
      </c>
      <c r="U196" s="168">
        <v>8334</v>
      </c>
      <c r="V196" s="113">
        <v>239.97</v>
      </c>
      <c r="W196" s="113">
        <f t="shared" si="45"/>
        <v>1999909.98</v>
      </c>
      <c r="X196" s="99" t="s">
        <v>4451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6"/>
        <v>135</v>
      </c>
      <c r="AM196" s="99">
        <f t="shared" si="44"/>
        <v>4485375</v>
      </c>
      <c r="AN196" s="99"/>
    </row>
    <row r="197" spans="16:44">
      <c r="Q197" s="99" t="s">
        <v>4937</v>
      </c>
      <c r="R197" s="95">
        <v>200000</v>
      </c>
      <c r="T197" s="168" t="s">
        <v>4231</v>
      </c>
      <c r="U197" s="168">
        <v>29041</v>
      </c>
      <c r="V197" s="113">
        <v>233.45</v>
      </c>
      <c r="W197" s="113">
        <f t="shared" si="45"/>
        <v>6779621.4499999993</v>
      </c>
      <c r="X197" s="99" t="s">
        <v>751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6"/>
        <v>135</v>
      </c>
      <c r="AM197" s="149">
        <f t="shared" si="44"/>
        <v>553300605</v>
      </c>
      <c r="AN197" s="149" t="s">
        <v>657</v>
      </c>
    </row>
    <row r="198" spans="16:44">
      <c r="Q198" s="99" t="s">
        <v>4718</v>
      </c>
      <c r="R198" s="95">
        <v>-8725</v>
      </c>
      <c r="S198" s="115"/>
      <c r="T198" s="168" t="s">
        <v>994</v>
      </c>
      <c r="U198" s="168">
        <v>12337</v>
      </c>
      <c r="V198" s="113">
        <v>243.16300000000001</v>
      </c>
      <c r="W198" s="113">
        <f t="shared" si="45"/>
        <v>2999901.9310000003</v>
      </c>
      <c r="X198" s="99" t="s">
        <v>4451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6"/>
        <v>133</v>
      </c>
      <c r="AM198" s="149">
        <f t="shared" si="44"/>
        <v>-133000000</v>
      </c>
      <c r="AN198" s="149" t="s">
        <v>657</v>
      </c>
    </row>
    <row r="199" spans="16:44">
      <c r="Q199" s="99" t="s">
        <v>4461</v>
      </c>
      <c r="R199" s="95">
        <f>SUM(R189:R198)</f>
        <v>1105093159.3</v>
      </c>
      <c r="S199" s="122"/>
      <c r="T199" s="168" t="s">
        <v>4595</v>
      </c>
      <c r="U199" s="168">
        <v>-16118</v>
      </c>
      <c r="V199" s="113">
        <v>248.17</v>
      </c>
      <c r="W199" s="113">
        <f t="shared" si="45"/>
        <v>-4000004.0599999996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6"/>
        <v>126</v>
      </c>
      <c r="AM199" s="149">
        <f t="shared" si="44"/>
        <v>94500000</v>
      </c>
      <c r="AN199" s="149" t="s">
        <v>657</v>
      </c>
      <c r="AQ199" t="s">
        <v>25</v>
      </c>
    </row>
    <row r="200" spans="16:44">
      <c r="Q200" s="96"/>
      <c r="S200" s="115"/>
      <c r="T200" s="168" t="s">
        <v>4624</v>
      </c>
      <c r="U200" s="168">
        <v>101681</v>
      </c>
      <c r="V200" s="113">
        <v>246.5711</v>
      </c>
      <c r="W200" s="113">
        <f t="shared" si="45"/>
        <v>25071596.019099999</v>
      </c>
      <c r="X200" s="99" t="s">
        <v>452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6"/>
        <v>125</v>
      </c>
      <c r="AM200" s="196">
        <f t="shared" si="44"/>
        <v>-75519000</v>
      </c>
      <c r="AN200" s="196" t="s">
        <v>657</v>
      </c>
    </row>
    <row r="201" spans="16:44">
      <c r="Q201" s="96"/>
      <c r="R201" s="182"/>
      <c r="S201" s="115"/>
      <c r="T201" s="168" t="s">
        <v>4628</v>
      </c>
      <c r="U201" s="168">
        <v>66606</v>
      </c>
      <c r="V201" s="113">
        <v>251.131</v>
      </c>
      <c r="W201" s="113">
        <f t="shared" si="45"/>
        <v>16726831.386</v>
      </c>
      <c r="X201" s="99" t="s">
        <v>751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6"/>
        <v>125</v>
      </c>
      <c r="AM201" s="99">
        <f t="shared" si="44"/>
        <v>-73385375</v>
      </c>
      <c r="AN201" s="99"/>
    </row>
    <row r="202" spans="16:44">
      <c r="Q202" s="96"/>
      <c r="R202" s="182"/>
      <c r="T202" s="168" t="s">
        <v>4635</v>
      </c>
      <c r="U202" s="168">
        <v>172025</v>
      </c>
      <c r="V202" s="113">
        <v>245.52809999999999</v>
      </c>
      <c r="W202" s="113">
        <f t="shared" si="45"/>
        <v>42236971.402499996</v>
      </c>
      <c r="X202" s="99" t="s">
        <v>452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6"/>
        <v>121</v>
      </c>
      <c r="AM202" s="196">
        <f t="shared" si="44"/>
        <v>-91276471</v>
      </c>
      <c r="AN202" s="196" t="s">
        <v>657</v>
      </c>
      <c r="AR202" t="s">
        <v>25</v>
      </c>
    </row>
    <row r="203" spans="16:44">
      <c r="Q203" s="96"/>
      <c r="R203" s="115"/>
      <c r="T203" s="168" t="s">
        <v>4635</v>
      </c>
      <c r="U203" s="168">
        <v>189227</v>
      </c>
      <c r="V203" s="113">
        <v>245.52809999999999</v>
      </c>
      <c r="W203" s="113">
        <f t="shared" si="45"/>
        <v>46460545.778700002</v>
      </c>
      <c r="X203" s="99" t="s">
        <v>751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6"/>
        <v>121</v>
      </c>
      <c r="AM203" s="99">
        <f t="shared" si="44"/>
        <v>-22943899</v>
      </c>
      <c r="AN203" s="99"/>
    </row>
    <row r="204" spans="16:44">
      <c r="T204" s="168" t="s">
        <v>4638</v>
      </c>
      <c r="U204" s="168">
        <v>79720</v>
      </c>
      <c r="V204" s="113">
        <v>246.6568</v>
      </c>
      <c r="W204" s="113">
        <f t="shared" si="45"/>
        <v>19663480.096000001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6"/>
        <v>106</v>
      </c>
      <c r="AM204" s="196">
        <f t="shared" si="44"/>
        <v>752600</v>
      </c>
      <c r="AN204" s="196" t="s">
        <v>657</v>
      </c>
    </row>
    <row r="205" spans="16:44">
      <c r="P205" s="99" t="s">
        <v>8</v>
      </c>
      <c r="Q205" s="99" t="s">
        <v>4451</v>
      </c>
      <c r="R205" s="99"/>
      <c r="T205" s="168" t="s">
        <v>4638</v>
      </c>
      <c r="U205" s="168">
        <v>79720</v>
      </c>
      <c r="V205" s="113">
        <v>246.6568</v>
      </c>
      <c r="W205" s="113">
        <f t="shared" si="45"/>
        <v>19663480.096000001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6"/>
        <v>106</v>
      </c>
      <c r="AM205" s="20">
        <f t="shared" si="44"/>
        <v>-15677612</v>
      </c>
      <c r="AN205" s="20"/>
      <c r="AR205" t="s">
        <v>25</v>
      </c>
    </row>
    <row r="206" spans="16:44">
      <c r="P206" s="99"/>
      <c r="Q206" s="36" t="s">
        <v>180</v>
      </c>
      <c r="R206" s="99" t="s">
        <v>267</v>
      </c>
      <c r="T206" s="168" t="s">
        <v>4665</v>
      </c>
      <c r="U206" s="168">
        <v>17769</v>
      </c>
      <c r="V206" s="113">
        <v>246.17877999999999</v>
      </c>
      <c r="W206" s="113">
        <f t="shared" si="45"/>
        <v>4374350.7418200001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6"/>
        <v>103</v>
      </c>
      <c r="AM206" s="196">
        <f t="shared" si="44"/>
        <v>-3831600</v>
      </c>
      <c r="AN206" s="149" t="s">
        <v>657</v>
      </c>
    </row>
    <row r="207" spans="16:44">
      <c r="P207" s="99"/>
      <c r="Q207" s="99" t="s">
        <v>4444</v>
      </c>
      <c r="R207" s="95">
        <v>3000000</v>
      </c>
      <c r="T207" s="168" t="s">
        <v>4665</v>
      </c>
      <c r="U207" s="168">
        <v>17769</v>
      </c>
      <c r="V207" s="113">
        <v>246.17877999999999</v>
      </c>
      <c r="W207" s="113">
        <f t="shared" si="45"/>
        <v>4374350.7418200001</v>
      </c>
      <c r="X207" s="99" t="s">
        <v>452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6"/>
        <v>99</v>
      </c>
      <c r="AM207" s="20">
        <f t="shared" si="44"/>
        <v>-36860274</v>
      </c>
      <c r="AN207" s="99"/>
    </row>
    <row r="208" spans="16:44">
      <c r="P208" s="99"/>
      <c r="Q208" s="99" t="s">
        <v>4498</v>
      </c>
      <c r="R208" s="95">
        <v>2000000</v>
      </c>
      <c r="T208" s="168" t="s">
        <v>4671</v>
      </c>
      <c r="U208" s="168">
        <v>12438</v>
      </c>
      <c r="V208" s="113">
        <v>241.20465999999999</v>
      </c>
      <c r="W208" s="113">
        <f t="shared" si="45"/>
        <v>3000103.5610799999</v>
      </c>
      <c r="X208" s="99" t="s">
        <v>4451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6"/>
        <v>78</v>
      </c>
      <c r="AM208" s="20">
        <f t="shared" si="44"/>
        <v>18334836</v>
      </c>
      <c r="AN208" s="99"/>
    </row>
    <row r="209" spans="16:45">
      <c r="P209" s="99"/>
      <c r="Q209" s="99" t="s">
        <v>4506</v>
      </c>
      <c r="R209" s="95">
        <v>1000000</v>
      </c>
      <c r="T209" s="168" t="s">
        <v>4681</v>
      </c>
      <c r="U209" s="168">
        <v>27363</v>
      </c>
      <c r="V209" s="113">
        <v>239.3886</v>
      </c>
      <c r="W209" s="113">
        <f t="shared" si="45"/>
        <v>6550390.2617999995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6"/>
        <v>78</v>
      </c>
      <c r="AM209" s="149">
        <f t="shared" si="44"/>
        <v>18334836</v>
      </c>
      <c r="AN209" s="149" t="s">
        <v>657</v>
      </c>
      <c r="AP209" t="s">
        <v>25</v>
      </c>
    </row>
    <row r="210" spans="16:45">
      <c r="P210" s="99"/>
      <c r="Q210" s="99" t="s">
        <v>4512</v>
      </c>
      <c r="R210" s="95">
        <v>2000000</v>
      </c>
      <c r="T210" s="168" t="s">
        <v>4681</v>
      </c>
      <c r="U210" s="168">
        <v>27363</v>
      </c>
      <c r="V210" s="113">
        <v>239.3886</v>
      </c>
      <c r="W210" s="113">
        <f t="shared" si="45"/>
        <v>6550390.2617999995</v>
      </c>
      <c r="X210" s="99" t="s">
        <v>452</v>
      </c>
      <c r="Z210" t="s">
        <v>25</v>
      </c>
      <c r="AH210" s="149">
        <v>29</v>
      </c>
      <c r="AI210" s="149" t="s">
        <v>4638</v>
      </c>
      <c r="AJ210" s="189">
        <v>450000</v>
      </c>
      <c r="AK210" s="149">
        <v>0</v>
      </c>
      <c r="AL210" s="99">
        <f t="shared" si="46"/>
        <v>69</v>
      </c>
      <c r="AM210" s="149">
        <f t="shared" si="44"/>
        <v>31050000</v>
      </c>
      <c r="AN210" s="149" t="s">
        <v>657</v>
      </c>
    </row>
    <row r="211" spans="16:45">
      <c r="P211" s="99"/>
      <c r="Q211" s="99" t="s">
        <v>994</v>
      </c>
      <c r="R211" s="95">
        <v>3000000</v>
      </c>
      <c r="T211" s="212" t="s">
        <v>4685</v>
      </c>
      <c r="U211" s="212">
        <v>27437</v>
      </c>
      <c r="V211" s="113">
        <v>242.4015</v>
      </c>
      <c r="W211" s="113">
        <f t="shared" si="45"/>
        <v>6650769.9555000002</v>
      </c>
      <c r="X211" s="99" t="s">
        <v>751</v>
      </c>
      <c r="AH211" s="20">
        <v>30</v>
      </c>
      <c r="AI211" s="20" t="s">
        <v>4638</v>
      </c>
      <c r="AJ211" s="117">
        <v>450000</v>
      </c>
      <c r="AK211" s="20">
        <v>22</v>
      </c>
      <c r="AL211" s="99">
        <f>AK211+AL212</f>
        <v>69</v>
      </c>
      <c r="AM211" s="20">
        <f t="shared" si="44"/>
        <v>31050000</v>
      </c>
      <c r="AN211" s="20"/>
      <c r="AR211" t="s">
        <v>25</v>
      </c>
    </row>
    <row r="212" spans="16:45">
      <c r="P212" s="99"/>
      <c r="Q212" s="99" t="s">
        <v>4671</v>
      </c>
      <c r="R212" s="95">
        <v>3000000</v>
      </c>
      <c r="T212" s="212" t="s">
        <v>4685</v>
      </c>
      <c r="U212" s="212">
        <v>29104</v>
      </c>
      <c r="V212" s="113">
        <v>242.4015</v>
      </c>
      <c r="W212" s="113">
        <f t="shared" si="45"/>
        <v>7054853.2560000001</v>
      </c>
      <c r="X212" s="99" t="s">
        <v>452</v>
      </c>
      <c r="AH212" s="149">
        <v>31</v>
      </c>
      <c r="AI212" s="149" t="s">
        <v>4741</v>
      </c>
      <c r="AJ212" s="189">
        <v>300000</v>
      </c>
      <c r="AK212" s="149">
        <v>0</v>
      </c>
      <c r="AL212" s="149">
        <f t="shared" ref="AL212:AL230" si="47">AK212+AL213</f>
        <v>47</v>
      </c>
      <c r="AM212" s="149">
        <f t="shared" ref="AM212:AM215" si="48">AJ212*AL212</f>
        <v>14100000</v>
      </c>
      <c r="AN212" s="149"/>
      <c r="AQ212" t="s">
        <v>25</v>
      </c>
    </row>
    <row r="213" spans="16:45" ht="30">
      <c r="P213" s="99" t="s">
        <v>4921</v>
      </c>
      <c r="Q213" s="99" t="s">
        <v>4914</v>
      </c>
      <c r="R213" s="95">
        <v>-800000</v>
      </c>
      <c r="T213" s="215" t="s">
        <v>4722</v>
      </c>
      <c r="U213" s="215">
        <v>8991</v>
      </c>
      <c r="V213" s="113">
        <v>238.64867000000001</v>
      </c>
      <c r="W213" s="113">
        <f t="shared" si="45"/>
        <v>2145690.19197</v>
      </c>
      <c r="X213" s="99" t="s">
        <v>751</v>
      </c>
      <c r="AH213" s="121">
        <v>32</v>
      </c>
      <c r="AI213" s="121" t="s">
        <v>4741</v>
      </c>
      <c r="AJ213" s="79">
        <v>288936</v>
      </c>
      <c r="AK213" s="121">
        <v>3</v>
      </c>
      <c r="AL213" s="121">
        <f t="shared" si="47"/>
        <v>47</v>
      </c>
      <c r="AM213" s="121">
        <f t="shared" si="48"/>
        <v>13579992</v>
      </c>
      <c r="AN213" s="207" t="s">
        <v>4754</v>
      </c>
    </row>
    <row r="214" spans="16:45">
      <c r="P214" s="99" t="s">
        <v>4922</v>
      </c>
      <c r="Q214" s="99" t="s">
        <v>4914</v>
      </c>
      <c r="R214" s="95">
        <v>-900000</v>
      </c>
      <c r="T214" s="215" t="s">
        <v>4722</v>
      </c>
      <c r="U214" s="215">
        <v>8991</v>
      </c>
      <c r="V214" s="113">
        <v>238.64867000000001</v>
      </c>
      <c r="W214" s="113">
        <f t="shared" si="45"/>
        <v>2145690.19197</v>
      </c>
      <c r="X214" s="99" t="s">
        <v>452</v>
      </c>
      <c r="AH214" s="121">
        <v>33</v>
      </c>
      <c r="AI214" s="121" t="s">
        <v>4752</v>
      </c>
      <c r="AJ214" s="79">
        <v>17962491</v>
      </c>
      <c r="AK214" s="121">
        <v>1</v>
      </c>
      <c r="AL214" s="121">
        <f t="shared" si="47"/>
        <v>44</v>
      </c>
      <c r="AM214" s="121">
        <f t="shared" si="48"/>
        <v>790349604</v>
      </c>
      <c r="AN214" s="121" t="s">
        <v>4759</v>
      </c>
    </row>
    <row r="215" spans="16:45">
      <c r="P215" s="99" t="s">
        <v>4922</v>
      </c>
      <c r="Q215" s="99" t="s">
        <v>981</v>
      </c>
      <c r="R215" s="95">
        <v>-1100000</v>
      </c>
      <c r="T215" s="215" t="s">
        <v>4737</v>
      </c>
      <c r="U215" s="215">
        <v>18170</v>
      </c>
      <c r="V215" s="113">
        <v>240.48475999999999</v>
      </c>
      <c r="W215" s="113">
        <f t="shared" si="45"/>
        <v>4369608.0892000003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43</v>
      </c>
      <c r="AM215" s="121">
        <f t="shared" si="48"/>
        <v>789630973</v>
      </c>
      <c r="AN215" s="121" t="s">
        <v>4759</v>
      </c>
    </row>
    <row r="216" spans="16:45">
      <c r="P216" s="196" t="s">
        <v>1087</v>
      </c>
      <c r="Q216" s="196" t="s">
        <v>4955</v>
      </c>
      <c r="R216" s="245">
        <v>30000000</v>
      </c>
      <c r="S216" t="s">
        <v>25</v>
      </c>
      <c r="T216" s="215" t="s">
        <v>4737</v>
      </c>
      <c r="U216" s="215">
        <v>18170</v>
      </c>
      <c r="V216" s="113">
        <v>240.48475999999999</v>
      </c>
      <c r="W216" s="113">
        <f t="shared" si="45"/>
        <v>4369608.0892000003</v>
      </c>
      <c r="X216" s="99" t="s">
        <v>452</v>
      </c>
      <c r="AH216" s="121">
        <v>35</v>
      </c>
      <c r="AI216" s="121" t="s">
        <v>4765</v>
      </c>
      <c r="AJ216" s="79">
        <v>23622417</v>
      </c>
      <c r="AK216" s="121">
        <v>5</v>
      </c>
      <c r="AL216" s="121">
        <f t="shared" si="47"/>
        <v>42</v>
      </c>
      <c r="AM216" s="121">
        <f t="shared" ref="AM216:AM231" si="49">AJ216*AL216</f>
        <v>992141514</v>
      </c>
      <c r="AN216" s="121" t="s">
        <v>4774</v>
      </c>
      <c r="AS216" t="s">
        <v>25</v>
      </c>
    </row>
    <row r="217" spans="16:45">
      <c r="P217" s="99"/>
      <c r="Q217" s="99"/>
      <c r="R217" s="95"/>
      <c r="T217" s="215" t="s">
        <v>4741</v>
      </c>
      <c r="U217" s="215">
        <v>36797</v>
      </c>
      <c r="V217" s="113">
        <v>239.0822</v>
      </c>
      <c r="W217" s="113">
        <f t="shared" si="45"/>
        <v>8797507.7134000007</v>
      </c>
      <c r="X217" s="99" t="s">
        <v>751</v>
      </c>
      <c r="AH217" s="121">
        <v>36</v>
      </c>
      <c r="AI217" s="121" t="s">
        <v>4791</v>
      </c>
      <c r="AJ217" s="79">
        <v>82496108</v>
      </c>
      <c r="AK217" s="121">
        <v>1</v>
      </c>
      <c r="AL217" s="121">
        <f t="shared" si="47"/>
        <v>37</v>
      </c>
      <c r="AM217" s="121">
        <f t="shared" si="49"/>
        <v>3052355996</v>
      </c>
      <c r="AN217" s="121" t="s">
        <v>4794</v>
      </c>
    </row>
    <row r="218" spans="16:45">
      <c r="P218" s="99"/>
      <c r="Q218" s="99"/>
      <c r="R218" s="95">
        <f>SUM(R207:R216)</f>
        <v>41200000</v>
      </c>
      <c r="T218" s="215" t="s">
        <v>4741</v>
      </c>
      <c r="U218" s="215">
        <v>36797</v>
      </c>
      <c r="V218" s="113">
        <v>239.0822</v>
      </c>
      <c r="W218" s="113">
        <f t="shared" si="45"/>
        <v>8797507.7134000007</v>
      </c>
      <c r="X218" s="99" t="s">
        <v>452</v>
      </c>
      <c r="AH218" s="121">
        <v>37</v>
      </c>
      <c r="AI218" s="121" t="s">
        <v>4793</v>
      </c>
      <c r="AJ218" s="79">
        <v>74657561</v>
      </c>
      <c r="AK218" s="121">
        <v>16</v>
      </c>
      <c r="AL218" s="121">
        <f t="shared" si="47"/>
        <v>36</v>
      </c>
      <c r="AM218" s="121">
        <f t="shared" si="49"/>
        <v>2687672196</v>
      </c>
      <c r="AN218" s="121" t="s">
        <v>4802</v>
      </c>
    </row>
    <row r="219" spans="16:45">
      <c r="P219" s="99"/>
      <c r="Q219" s="99"/>
      <c r="R219" s="99" t="s">
        <v>6</v>
      </c>
      <c r="T219" s="215" t="s">
        <v>4752</v>
      </c>
      <c r="U219" s="215">
        <v>28066</v>
      </c>
      <c r="V219" s="113">
        <v>237.56970000000001</v>
      </c>
      <c r="W219" s="113">
        <f t="shared" si="45"/>
        <v>6667631.2002000008</v>
      </c>
      <c r="X219" s="99" t="s">
        <v>751</v>
      </c>
      <c r="AH219" s="99">
        <v>38</v>
      </c>
      <c r="AI219" s="99" t="s">
        <v>4890</v>
      </c>
      <c r="AJ219" s="117">
        <v>665000</v>
      </c>
      <c r="AK219" s="99">
        <v>0</v>
      </c>
      <c r="AL219" s="99">
        <f t="shared" si="47"/>
        <v>20</v>
      </c>
      <c r="AM219" s="20">
        <f t="shared" si="49"/>
        <v>13300000</v>
      </c>
      <c r="AN219" s="99"/>
    </row>
    <row r="220" spans="16:45">
      <c r="T220" s="215" t="s">
        <v>4752</v>
      </c>
      <c r="U220" s="215">
        <v>28066</v>
      </c>
      <c r="V220" s="113">
        <v>237.56970000000001</v>
      </c>
      <c r="W220" s="113">
        <f t="shared" si="45"/>
        <v>6667631.2002000008</v>
      </c>
      <c r="X220" s="99" t="s">
        <v>452</v>
      </c>
      <c r="Y220" t="s">
        <v>25</v>
      </c>
      <c r="AH220" s="149">
        <v>39</v>
      </c>
      <c r="AI220" s="149" t="s">
        <v>4890</v>
      </c>
      <c r="AJ220" s="189">
        <v>665000</v>
      </c>
      <c r="AK220" s="149">
        <v>4</v>
      </c>
      <c r="AL220" s="196">
        <f t="shared" si="47"/>
        <v>20</v>
      </c>
      <c r="AM220" s="196">
        <f t="shared" ref="AM220:AM221" si="50">AJ220*AL220</f>
        <v>13300000</v>
      </c>
      <c r="AN220" s="196"/>
    </row>
    <row r="221" spans="16:45">
      <c r="Q221" s="96"/>
      <c r="R221" s="96" t="s">
        <v>25</v>
      </c>
      <c r="T221" s="215" t="s">
        <v>3684</v>
      </c>
      <c r="U221" s="215">
        <v>37457</v>
      </c>
      <c r="V221" s="113">
        <v>239.77</v>
      </c>
      <c r="W221" s="113">
        <f t="shared" si="45"/>
        <v>8981064.8900000006</v>
      </c>
      <c r="X221" s="99" t="s">
        <v>751</v>
      </c>
      <c r="AH221" s="20">
        <v>40</v>
      </c>
      <c r="AI221" s="20" t="s">
        <v>4906</v>
      </c>
      <c r="AJ221" s="117">
        <v>2000000</v>
      </c>
      <c r="AK221" s="20">
        <v>1</v>
      </c>
      <c r="AL221" s="99">
        <f t="shared" si="47"/>
        <v>16</v>
      </c>
      <c r="AM221" s="20">
        <f t="shared" si="50"/>
        <v>32000000</v>
      </c>
      <c r="AN221" s="99"/>
    </row>
    <row r="222" spans="16:45">
      <c r="Q222" s="96"/>
      <c r="R222" s="96"/>
      <c r="T222" s="215" t="s">
        <v>3684</v>
      </c>
      <c r="U222" s="215">
        <v>37457</v>
      </c>
      <c r="V222" s="113">
        <v>239.77</v>
      </c>
      <c r="W222" s="113">
        <f t="shared" si="45"/>
        <v>8981064.8900000006</v>
      </c>
      <c r="X222" s="99" t="s">
        <v>452</v>
      </c>
      <c r="Y222" s="96"/>
      <c r="AH222" s="20">
        <v>41</v>
      </c>
      <c r="AI222" s="20" t="s">
        <v>4914</v>
      </c>
      <c r="AJ222" s="117">
        <v>-2060725</v>
      </c>
      <c r="AK222" s="20">
        <v>0</v>
      </c>
      <c r="AL222" s="99">
        <f t="shared" si="47"/>
        <v>15</v>
      </c>
      <c r="AM222" s="20">
        <f t="shared" ref="AM222:AM230" si="51">AJ222*AL222</f>
        <v>-30910875</v>
      </c>
      <c r="AN222" s="99" t="s">
        <v>4915</v>
      </c>
    </row>
    <row r="223" spans="16:45">
      <c r="T223" s="215" t="s">
        <v>4765</v>
      </c>
      <c r="U223" s="215">
        <v>38412</v>
      </c>
      <c r="V223" s="113">
        <v>239.03</v>
      </c>
      <c r="W223" s="113">
        <f t="shared" si="45"/>
        <v>9181620.3599999994</v>
      </c>
      <c r="X223" s="99" t="s">
        <v>751</v>
      </c>
      <c r="Y223" t="s">
        <v>25</v>
      </c>
      <c r="AH223" s="149">
        <v>42</v>
      </c>
      <c r="AI223" s="149" t="s">
        <v>4914</v>
      </c>
      <c r="AJ223" s="189">
        <v>-433375</v>
      </c>
      <c r="AK223" s="149">
        <v>0</v>
      </c>
      <c r="AL223" s="149">
        <f t="shared" si="47"/>
        <v>15</v>
      </c>
      <c r="AM223" s="149">
        <f t="shared" si="51"/>
        <v>-6500625</v>
      </c>
      <c r="AN223" s="149" t="s">
        <v>4916</v>
      </c>
    </row>
    <row r="224" spans="16:45">
      <c r="Q224" s="99" t="s">
        <v>751</v>
      </c>
      <c r="R224" s="99"/>
      <c r="T224" s="215" t="s">
        <v>4765</v>
      </c>
      <c r="U224" s="215">
        <v>38412</v>
      </c>
      <c r="V224" s="113">
        <v>239.03</v>
      </c>
      <c r="W224" s="113">
        <f t="shared" si="45"/>
        <v>9181620.3599999994</v>
      </c>
      <c r="X224" s="99" t="s">
        <v>452</v>
      </c>
      <c r="Z224" t="s">
        <v>25</v>
      </c>
      <c r="AH224" s="20">
        <v>43</v>
      </c>
      <c r="AI224" s="20" t="s">
        <v>4914</v>
      </c>
      <c r="AJ224" s="117">
        <v>28000000</v>
      </c>
      <c r="AK224" s="20">
        <v>1</v>
      </c>
      <c r="AL224" s="99">
        <f t="shared" si="47"/>
        <v>15</v>
      </c>
      <c r="AM224" s="20">
        <f t="shared" si="51"/>
        <v>420000000</v>
      </c>
      <c r="AN224" s="99" t="s">
        <v>3891</v>
      </c>
    </row>
    <row r="225" spans="17:40">
      <c r="Q225" s="99" t="s">
        <v>4444</v>
      </c>
      <c r="R225" s="95">
        <v>172908000</v>
      </c>
      <c r="T225" s="215" t="s">
        <v>4775</v>
      </c>
      <c r="U225" s="215">
        <v>49555</v>
      </c>
      <c r="V225" s="113">
        <v>238.345</v>
      </c>
      <c r="W225" s="113">
        <f t="shared" si="45"/>
        <v>11811186.475</v>
      </c>
      <c r="X225" s="99" t="s">
        <v>751</v>
      </c>
      <c r="AH225" s="20">
        <v>44</v>
      </c>
      <c r="AI225" s="20" t="s">
        <v>4925</v>
      </c>
      <c r="AJ225" s="117">
        <v>160000</v>
      </c>
      <c r="AK225" s="20">
        <v>0</v>
      </c>
      <c r="AL225" s="99">
        <f t="shared" si="47"/>
        <v>14</v>
      </c>
      <c r="AM225" s="20">
        <f t="shared" si="51"/>
        <v>2240000</v>
      </c>
      <c r="AN225" s="99"/>
    </row>
    <row r="226" spans="17:40">
      <c r="Q226" s="99" t="s">
        <v>4485</v>
      </c>
      <c r="R226" s="95">
        <v>1400000</v>
      </c>
      <c r="T226" s="215" t="s">
        <v>4775</v>
      </c>
      <c r="U226" s="215">
        <v>49555</v>
      </c>
      <c r="V226" s="113">
        <v>238.345</v>
      </c>
      <c r="W226" s="113">
        <f t="shared" si="45"/>
        <v>11811186.475</v>
      </c>
      <c r="X226" s="99" t="s">
        <v>452</v>
      </c>
      <c r="AH226" s="149">
        <v>45</v>
      </c>
      <c r="AI226" s="149" t="s">
        <v>4925</v>
      </c>
      <c r="AJ226" s="189">
        <v>70000</v>
      </c>
      <c r="AK226" s="149">
        <v>9</v>
      </c>
      <c r="AL226" s="149">
        <f t="shared" si="47"/>
        <v>14</v>
      </c>
      <c r="AM226" s="149">
        <f t="shared" si="51"/>
        <v>980000</v>
      </c>
      <c r="AN226" s="149"/>
    </row>
    <row r="227" spans="17:40">
      <c r="Q227" s="99" t="s">
        <v>4232</v>
      </c>
      <c r="R227" s="95">
        <v>247393</v>
      </c>
      <c r="T227" s="215" t="s">
        <v>4793</v>
      </c>
      <c r="U227" s="215">
        <v>160187</v>
      </c>
      <c r="V227" s="113">
        <v>257.49799999999999</v>
      </c>
      <c r="W227" s="113">
        <f t="shared" si="45"/>
        <v>41247832.126000002</v>
      </c>
      <c r="X227" s="99" t="s">
        <v>751</v>
      </c>
      <c r="AH227" s="20">
        <v>46</v>
      </c>
      <c r="AI227" s="20" t="s">
        <v>4939</v>
      </c>
      <c r="AJ227" s="117">
        <v>850000</v>
      </c>
      <c r="AK227" s="20">
        <v>0</v>
      </c>
      <c r="AL227" s="99">
        <f t="shared" si="47"/>
        <v>5</v>
      </c>
      <c r="AM227" s="20">
        <f t="shared" si="51"/>
        <v>4250000</v>
      </c>
      <c r="AN227" s="99"/>
    </row>
    <row r="228" spans="17:40">
      <c r="Q228" s="99" t="s">
        <v>4231</v>
      </c>
      <c r="R228" s="95">
        <v>6780000</v>
      </c>
      <c r="T228" s="215" t="s">
        <v>4793</v>
      </c>
      <c r="U228" s="215">
        <v>160187</v>
      </c>
      <c r="V228" s="113">
        <v>257.49799999999999</v>
      </c>
      <c r="W228" s="113">
        <f t="shared" si="45"/>
        <v>41247832.126000002</v>
      </c>
      <c r="X228" s="99" t="s">
        <v>452</v>
      </c>
      <c r="AH228" s="196">
        <v>47</v>
      </c>
      <c r="AI228" s="196" t="s">
        <v>4939</v>
      </c>
      <c r="AJ228" s="197">
        <v>20000</v>
      </c>
      <c r="AK228" s="196">
        <v>4</v>
      </c>
      <c r="AL228" s="196">
        <f t="shared" si="47"/>
        <v>5</v>
      </c>
      <c r="AM228" s="196">
        <f t="shared" si="51"/>
        <v>100000</v>
      </c>
      <c r="AN228" s="196"/>
    </row>
    <row r="229" spans="17:40">
      <c r="Q229" s="99" t="s">
        <v>4595</v>
      </c>
      <c r="R229" s="95">
        <v>-4000000</v>
      </c>
      <c r="S229" t="s">
        <v>25</v>
      </c>
      <c r="T229" s="215" t="s">
        <v>4803</v>
      </c>
      <c r="U229" s="215">
        <v>144401</v>
      </c>
      <c r="V229" s="113">
        <v>258.5061</v>
      </c>
      <c r="W229" s="113">
        <f t="shared" si="45"/>
        <v>37328539.346100003</v>
      </c>
      <c r="X229" s="99" t="s">
        <v>751</v>
      </c>
      <c r="AH229" s="196">
        <v>48</v>
      </c>
      <c r="AI229" s="196" t="s">
        <v>4955</v>
      </c>
      <c r="AJ229" s="197">
        <v>30000000</v>
      </c>
      <c r="AK229" s="196">
        <v>1</v>
      </c>
      <c r="AL229" s="196">
        <f t="shared" si="47"/>
        <v>1</v>
      </c>
      <c r="AM229" s="196">
        <f t="shared" si="51"/>
        <v>30000000</v>
      </c>
      <c r="AN229" s="196" t="s">
        <v>4957</v>
      </c>
    </row>
    <row r="230" spans="17:40">
      <c r="Q230" s="99" t="s">
        <v>4628</v>
      </c>
      <c r="R230" s="95">
        <v>16727037</v>
      </c>
      <c r="T230" s="215" t="s">
        <v>4803</v>
      </c>
      <c r="U230" s="215">
        <v>144401</v>
      </c>
      <c r="V230" s="113">
        <v>258.5061</v>
      </c>
      <c r="W230" s="113">
        <f t="shared" si="45"/>
        <v>37328539.346100003</v>
      </c>
      <c r="X230" s="99" t="s">
        <v>452</v>
      </c>
      <c r="AH230" s="99"/>
      <c r="AI230" s="99"/>
      <c r="AJ230" s="117"/>
      <c r="AK230" s="99"/>
      <c r="AL230" s="99">
        <f t="shared" si="47"/>
        <v>0</v>
      </c>
      <c r="AM230" s="20">
        <f t="shared" si="51"/>
        <v>0</v>
      </c>
      <c r="AN230" s="99"/>
    </row>
    <row r="231" spans="17:40">
      <c r="Q231" s="99" t="s">
        <v>4635</v>
      </c>
      <c r="R231" s="95">
        <v>46460683</v>
      </c>
      <c r="T231" s="168" t="s">
        <v>4812</v>
      </c>
      <c r="U231" s="168">
        <v>196500</v>
      </c>
      <c r="V231" s="113">
        <v>254.452</v>
      </c>
      <c r="W231" s="113">
        <f t="shared" si="45"/>
        <v>49999818</v>
      </c>
      <c r="X231" s="99" t="s">
        <v>4820</v>
      </c>
      <c r="AH231" s="99"/>
      <c r="AI231" s="99"/>
      <c r="AJ231" s="117"/>
      <c r="AK231" s="99"/>
      <c r="AL231" s="99">
        <f t="shared" ref="AL231" si="52">AK231+AL234</f>
        <v>0</v>
      </c>
      <c r="AM231" s="99">
        <f t="shared" si="49"/>
        <v>0</v>
      </c>
      <c r="AN231" s="99"/>
    </row>
    <row r="232" spans="17:40">
      <c r="Q232" s="99" t="s">
        <v>4638</v>
      </c>
      <c r="R232" s="95">
        <v>19663646</v>
      </c>
      <c r="T232" s="215" t="s">
        <v>4812</v>
      </c>
      <c r="U232" s="215">
        <v>2561</v>
      </c>
      <c r="V232" s="113">
        <v>254.536</v>
      </c>
      <c r="W232" s="113">
        <f t="shared" si="45"/>
        <v>651866.696</v>
      </c>
      <c r="X232" s="99" t="s">
        <v>4821</v>
      </c>
      <c r="AH232" s="99"/>
      <c r="AI232" s="99"/>
      <c r="AJ232" s="95">
        <f>SUM(AJ182:AJ231)</f>
        <v>306517098</v>
      </c>
      <c r="AK232" s="99"/>
      <c r="AL232" s="99"/>
      <c r="AM232" s="99">
        <f>SUM(AM182:AM231)</f>
        <v>14031075671</v>
      </c>
      <c r="AN232" s="95">
        <f>AM232*AN168/31</f>
        <v>7543739.9422115162</v>
      </c>
    </row>
    <row r="233" spans="17:40">
      <c r="Q233" s="99" t="s">
        <v>4665</v>
      </c>
      <c r="R233" s="95">
        <v>4374525</v>
      </c>
      <c r="S233" t="s">
        <v>25</v>
      </c>
      <c r="T233" s="215" t="s">
        <v>4872</v>
      </c>
      <c r="U233" s="215">
        <v>-11795</v>
      </c>
      <c r="V233" s="113">
        <v>254.334</v>
      </c>
      <c r="W233" s="113">
        <f t="shared" si="45"/>
        <v>-2999869.5300000003</v>
      </c>
      <c r="X233" s="99" t="s">
        <v>4873</v>
      </c>
      <c r="AJ233" t="s">
        <v>4059</v>
      </c>
      <c r="AM233" t="s">
        <v>284</v>
      </c>
      <c r="AN233" t="s">
        <v>943</v>
      </c>
    </row>
    <row r="234" spans="17:40">
      <c r="Q234" s="99" t="s">
        <v>4681</v>
      </c>
      <c r="R234" s="95">
        <v>6550580</v>
      </c>
      <c r="T234" s="215" t="s">
        <v>4872</v>
      </c>
      <c r="U234" s="215">
        <v>11795</v>
      </c>
      <c r="V234" s="113">
        <v>254.334</v>
      </c>
      <c r="W234" s="113">
        <f t="shared" si="45"/>
        <v>2999869.5300000003</v>
      </c>
      <c r="X234" s="99" t="s">
        <v>4874</v>
      </c>
    </row>
    <row r="235" spans="17:40">
      <c r="Q235" s="99" t="s">
        <v>4685</v>
      </c>
      <c r="R235" s="95">
        <v>6650895</v>
      </c>
      <c r="T235" s="215" t="s">
        <v>4890</v>
      </c>
      <c r="U235" s="215">
        <v>260</v>
      </c>
      <c r="V235" s="113">
        <v>263.19</v>
      </c>
      <c r="W235" s="113">
        <f t="shared" si="45"/>
        <v>68429.399999999994</v>
      </c>
      <c r="X235" s="99" t="s">
        <v>452</v>
      </c>
      <c r="AI235" t="s">
        <v>4061</v>
      </c>
      <c r="AJ235" s="114">
        <f>AJ232+AN232</f>
        <v>314060837.94221151</v>
      </c>
    </row>
    <row r="236" spans="17:40">
      <c r="Q236" s="99" t="s">
        <v>4722</v>
      </c>
      <c r="R236" s="95">
        <v>2145814</v>
      </c>
      <c r="T236" s="215" t="s">
        <v>4906</v>
      </c>
      <c r="U236" s="215">
        <v>15257</v>
      </c>
      <c r="V236" s="113">
        <v>262.19018</v>
      </c>
      <c r="W236" s="113">
        <f t="shared" si="45"/>
        <v>4000235.57626</v>
      </c>
      <c r="X236" s="99" t="s">
        <v>452</v>
      </c>
      <c r="AI236" t="s">
        <v>4064</v>
      </c>
      <c r="AJ236" s="114">
        <f>SUM(N20:N33)</f>
        <v>366623331.80000007</v>
      </c>
    </row>
    <row r="237" spans="17:40">
      <c r="Q237" s="99" t="s">
        <v>4737</v>
      </c>
      <c r="R237" s="95">
        <v>4369730</v>
      </c>
      <c r="T237" s="215" t="s">
        <v>4906</v>
      </c>
      <c r="U237" s="215">
        <v>8444</v>
      </c>
      <c r="V237" s="113">
        <v>266.43029999999999</v>
      </c>
      <c r="W237" s="113">
        <f t="shared" si="45"/>
        <v>2249737.4531999999</v>
      </c>
      <c r="X237" s="99" t="s">
        <v>452</v>
      </c>
      <c r="AI237" t="s">
        <v>4136</v>
      </c>
      <c r="AJ237" s="114">
        <f>AJ236-AJ232</f>
        <v>60106233.800000072</v>
      </c>
    </row>
    <row r="238" spans="17:40">
      <c r="Q238" s="99" t="s">
        <v>4741</v>
      </c>
      <c r="R238" s="95">
        <v>8739459</v>
      </c>
      <c r="T238" s="215" t="s">
        <v>4914</v>
      </c>
      <c r="U238" s="215">
        <v>-6209</v>
      </c>
      <c r="V238" s="113">
        <v>273.79649999999998</v>
      </c>
      <c r="W238" s="113">
        <f t="shared" si="45"/>
        <v>-1700002.4685</v>
      </c>
      <c r="X238" s="99" t="s">
        <v>4927</v>
      </c>
      <c r="AI238" t="s">
        <v>943</v>
      </c>
      <c r="AJ238" s="114">
        <f>AN232</f>
        <v>7543739.9422115162</v>
      </c>
    </row>
    <row r="239" spans="17:40">
      <c r="Q239" s="99" t="s">
        <v>4752</v>
      </c>
      <c r="R239" s="95">
        <v>6667654</v>
      </c>
      <c r="T239" s="215" t="s">
        <v>4914</v>
      </c>
      <c r="U239" s="215">
        <v>-8014</v>
      </c>
      <c r="V239" s="113">
        <v>273.79649999999998</v>
      </c>
      <c r="W239" s="113">
        <f t="shared" si="45"/>
        <v>-2194205.1510000001</v>
      </c>
      <c r="X239" s="99" t="s">
        <v>751</v>
      </c>
      <c r="AI239" t="s">
        <v>4065</v>
      </c>
      <c r="AJ239" s="114">
        <f>AJ237-AJ238</f>
        <v>52562493.857788555</v>
      </c>
      <c r="AN239" t="s">
        <v>25</v>
      </c>
    </row>
    <row r="240" spans="17:40">
      <c r="Q240" s="99" t="s">
        <v>4760</v>
      </c>
      <c r="R240" s="95">
        <v>8981245</v>
      </c>
      <c r="S240" t="s">
        <v>25</v>
      </c>
      <c r="T240" s="215" t="s">
        <v>4925</v>
      </c>
      <c r="U240" s="215">
        <v>-9176</v>
      </c>
      <c r="V240" s="113">
        <v>273.79649999999998</v>
      </c>
      <c r="W240" s="113">
        <f t="shared" si="45"/>
        <v>-2512356.6839999999</v>
      </c>
      <c r="X240" s="99" t="s">
        <v>452</v>
      </c>
      <c r="AN240" t="s">
        <v>25</v>
      </c>
    </row>
    <row r="241" spans="17:40">
      <c r="Q241" s="99" t="s">
        <v>4765</v>
      </c>
      <c r="R241" s="95">
        <v>9181756</v>
      </c>
      <c r="T241" s="215" t="s">
        <v>4925</v>
      </c>
      <c r="U241" s="215">
        <v>1087</v>
      </c>
      <c r="V241" s="113">
        <v>273.79649999999998</v>
      </c>
      <c r="W241" s="113">
        <f t="shared" si="45"/>
        <v>297616.79550000001</v>
      </c>
      <c r="X241" s="99" t="s">
        <v>452</v>
      </c>
    </row>
    <row r="242" spans="17:40">
      <c r="Q242" s="99" t="s">
        <v>4775</v>
      </c>
      <c r="R242" s="95">
        <v>11811208</v>
      </c>
      <c r="T242" s="215" t="s">
        <v>981</v>
      </c>
      <c r="U242" s="215">
        <v>-4017</v>
      </c>
      <c r="V242" s="113">
        <v>273.79649999999998</v>
      </c>
      <c r="W242" s="113">
        <f t="shared" si="45"/>
        <v>-1099840.5404999999</v>
      </c>
      <c r="X242" s="99" t="s">
        <v>4451</v>
      </c>
    </row>
    <row r="243" spans="17:40">
      <c r="Q243" s="99" t="s">
        <v>4793</v>
      </c>
      <c r="R243" s="95">
        <v>41248054</v>
      </c>
      <c r="T243" s="215" t="s">
        <v>981</v>
      </c>
      <c r="U243" s="215">
        <v>4017</v>
      </c>
      <c r="V243" s="113">
        <v>273.79649999999998</v>
      </c>
      <c r="W243" s="113">
        <f t="shared" si="45"/>
        <v>1099840.5404999999</v>
      </c>
      <c r="X243" s="99" t="s">
        <v>452</v>
      </c>
      <c r="AN243" t="s">
        <v>25</v>
      </c>
    </row>
    <row r="244" spans="17:40">
      <c r="Q244" s="99" t="s">
        <v>4803</v>
      </c>
      <c r="R244" s="95">
        <v>37328780</v>
      </c>
      <c r="S244" t="s">
        <v>25</v>
      </c>
      <c r="T244" s="215" t="s">
        <v>4939</v>
      </c>
      <c r="U244" s="215">
        <v>3137</v>
      </c>
      <c r="V244" s="113">
        <v>283.69110000000001</v>
      </c>
      <c r="W244" s="113">
        <f t="shared" si="45"/>
        <v>889938.98070000007</v>
      </c>
      <c r="X244" s="99" t="s">
        <v>452</v>
      </c>
      <c r="Y244" t="s">
        <v>25</v>
      </c>
    </row>
    <row r="245" spans="17:40">
      <c r="Q245" s="99" t="s">
        <v>4914</v>
      </c>
      <c r="R245" s="95">
        <v>-2194100</v>
      </c>
      <c r="S245" t="s">
        <v>25</v>
      </c>
      <c r="T245" s="215" t="s">
        <v>4955</v>
      </c>
      <c r="U245" s="215">
        <v>101933</v>
      </c>
      <c r="V245" s="113">
        <v>294.30973999999998</v>
      </c>
      <c r="W245" s="113">
        <f t="shared" si="45"/>
        <v>29999874.727419998</v>
      </c>
      <c r="X245" s="99" t="s">
        <v>1087</v>
      </c>
      <c r="Y245" t="s">
        <v>25</v>
      </c>
    </row>
    <row r="246" spans="17:40">
      <c r="Q246" s="99" t="s">
        <v>4970</v>
      </c>
      <c r="R246" s="95">
        <v>20193916</v>
      </c>
      <c r="T246" s="215" t="s">
        <v>4968</v>
      </c>
      <c r="U246" s="215">
        <v>3407</v>
      </c>
      <c r="V246" s="113">
        <v>293.43799999999999</v>
      </c>
      <c r="W246" s="113">
        <f t="shared" si="45"/>
        <v>999743.26599999995</v>
      </c>
      <c r="X246" s="99" t="s">
        <v>452</v>
      </c>
    </row>
    <row r="247" spans="17:40">
      <c r="Q247" s="99"/>
      <c r="R247" s="95"/>
      <c r="T247" s="215" t="s">
        <v>4970</v>
      </c>
      <c r="U247" s="215">
        <v>68796</v>
      </c>
      <c r="V247" s="113">
        <v>293.53250000000003</v>
      </c>
      <c r="W247" s="113">
        <f t="shared" si="45"/>
        <v>20193861.870000001</v>
      </c>
      <c r="X247" s="99" t="s">
        <v>751</v>
      </c>
    </row>
    <row r="248" spans="17:40">
      <c r="Q248" s="99"/>
      <c r="R248" s="95">
        <f>SUM(R225:R247)</f>
        <v>426236275</v>
      </c>
      <c r="T248" s="215" t="s">
        <v>4970</v>
      </c>
      <c r="U248" s="215">
        <v>154791</v>
      </c>
      <c r="V248" s="113">
        <v>293.53250000000003</v>
      </c>
      <c r="W248" s="113">
        <f t="shared" si="45"/>
        <v>45436189.207500003</v>
      </c>
      <c r="X248" s="99" t="s">
        <v>452</v>
      </c>
    </row>
    <row r="249" spans="17:40">
      <c r="Q249" s="99"/>
      <c r="R249" s="99" t="s">
        <v>6</v>
      </c>
      <c r="T249" s="215" t="s">
        <v>4970</v>
      </c>
      <c r="U249" s="215">
        <v>-11923</v>
      </c>
      <c r="V249" s="113">
        <v>293.53250000000003</v>
      </c>
      <c r="W249" s="113">
        <f t="shared" si="45"/>
        <v>-3499787.9975000005</v>
      </c>
      <c r="X249" s="99" t="s">
        <v>452</v>
      </c>
    </row>
    <row r="250" spans="17:40">
      <c r="T250" s="215" t="s">
        <v>4993</v>
      </c>
      <c r="U250" s="215">
        <v>8424</v>
      </c>
      <c r="V250" s="113">
        <v>299.15170000000001</v>
      </c>
      <c r="W250" s="113">
        <f t="shared" si="45"/>
        <v>2520053.9208</v>
      </c>
      <c r="X250" s="99" t="s">
        <v>452</v>
      </c>
    </row>
    <row r="251" spans="17:40">
      <c r="T251" s="215"/>
      <c r="U251" s="215"/>
      <c r="V251" s="113"/>
      <c r="W251" s="113"/>
      <c r="X251" s="99"/>
    </row>
    <row r="252" spans="17:40">
      <c r="Q252" s="99" t="s">
        <v>452</v>
      </c>
      <c r="R252" s="99"/>
      <c r="T252" s="215"/>
      <c r="U252" s="215"/>
      <c r="V252" s="113"/>
      <c r="W252" s="113"/>
      <c r="X252" s="99"/>
    </row>
    <row r="253" spans="17:40">
      <c r="Q253" s="99" t="s">
        <v>4444</v>
      </c>
      <c r="R253" s="95">
        <v>63115000</v>
      </c>
      <c r="T253" s="168"/>
      <c r="U253" s="168"/>
      <c r="V253" s="113"/>
      <c r="W253" s="113"/>
      <c r="X253" s="99"/>
    </row>
    <row r="254" spans="17:40">
      <c r="Q254" s="99" t="s">
        <v>4498</v>
      </c>
      <c r="R254" s="95">
        <v>13300000</v>
      </c>
      <c r="T254" s="168"/>
      <c r="U254" s="168">
        <f>SUM(U189:U253)</f>
        <v>3537210</v>
      </c>
      <c r="V254" s="99"/>
      <c r="W254" s="99"/>
      <c r="X254" s="99"/>
    </row>
    <row r="255" spans="17:40">
      <c r="Q255" s="99" t="s">
        <v>4506</v>
      </c>
      <c r="R255" s="95">
        <v>2269000</v>
      </c>
      <c r="T255" s="99"/>
      <c r="U255" s="99" t="s">
        <v>6</v>
      </c>
      <c r="V255" s="99"/>
      <c r="W255" s="99"/>
      <c r="X255" s="99"/>
    </row>
    <row r="256" spans="17:40">
      <c r="Q256" s="99" t="s">
        <v>4624</v>
      </c>
      <c r="R256" s="95">
        <v>25071612</v>
      </c>
      <c r="T256" s="201" t="s">
        <v>4488</v>
      </c>
    </row>
    <row r="257" spans="17:24">
      <c r="Q257" s="99" t="s">
        <v>4635</v>
      </c>
      <c r="R257" s="95">
        <v>42236984</v>
      </c>
      <c r="T257" s="200">
        <f>R199/U254</f>
        <v>312.41943772068947</v>
      </c>
    </row>
    <row r="258" spans="17:24">
      <c r="Q258" s="99" t="s">
        <v>4638</v>
      </c>
      <c r="R258" s="95">
        <v>19663646</v>
      </c>
      <c r="W258" s="114"/>
    </row>
    <row r="259" spans="17:24">
      <c r="Q259" s="99" t="s">
        <v>4665</v>
      </c>
      <c r="R259" s="95">
        <v>4374525</v>
      </c>
      <c r="U259" s="96" t="s">
        <v>267</v>
      </c>
      <c r="V259" t="s">
        <v>4489</v>
      </c>
      <c r="X259" t="s">
        <v>25</v>
      </c>
    </row>
    <row r="260" spans="17:24">
      <c r="Q260" s="99" t="s">
        <v>4681</v>
      </c>
      <c r="R260" s="95">
        <v>6550580</v>
      </c>
      <c r="T260" s="114"/>
      <c r="U260" s="113">
        <v>2520000</v>
      </c>
      <c r="V260">
        <f>U260/T257</f>
        <v>8066.0794295806299</v>
      </c>
      <c r="X260" t="s">
        <v>25</v>
      </c>
    </row>
    <row r="261" spans="17:24">
      <c r="Q261" s="99" t="s">
        <v>4685</v>
      </c>
      <c r="R261" s="95">
        <v>7054895</v>
      </c>
      <c r="X261" t="s">
        <v>25</v>
      </c>
    </row>
    <row r="262" spans="17:24">
      <c r="Q262" s="99" t="s">
        <v>4722</v>
      </c>
      <c r="R262" s="95">
        <v>2145814</v>
      </c>
      <c r="W262" s="225"/>
      <c r="X262" s="96" t="s">
        <v>25</v>
      </c>
    </row>
    <row r="263" spans="17:24">
      <c r="Q263" s="99" t="s">
        <v>4737</v>
      </c>
      <c r="R263" s="95">
        <v>4369730</v>
      </c>
    </row>
    <row r="264" spans="17:24">
      <c r="Q264" s="99" t="s">
        <v>4741</v>
      </c>
      <c r="R264" s="95">
        <v>8739459</v>
      </c>
    </row>
    <row r="265" spans="17:24" ht="60">
      <c r="Q265" s="99" t="s">
        <v>4752</v>
      </c>
      <c r="R265" s="95">
        <v>6667654</v>
      </c>
      <c r="T265" s="22" t="s">
        <v>4472</v>
      </c>
      <c r="V265" s="225"/>
    </row>
    <row r="266" spans="17:24" ht="45">
      <c r="Q266" s="99" t="s">
        <v>3684</v>
      </c>
      <c r="R266" s="95">
        <v>8981245</v>
      </c>
      <c r="T266" s="22" t="s">
        <v>4473</v>
      </c>
    </row>
    <row r="267" spans="17:24">
      <c r="Q267" s="99" t="s">
        <v>4765</v>
      </c>
      <c r="R267" s="95">
        <v>9181756</v>
      </c>
    </row>
    <row r="268" spans="17:24">
      <c r="Q268" s="99" t="s">
        <v>4775</v>
      </c>
      <c r="R268" s="95">
        <v>11811208</v>
      </c>
    </row>
    <row r="269" spans="17:24">
      <c r="Q269" s="99" t="s">
        <v>4793</v>
      </c>
      <c r="R269" s="95">
        <v>41248054</v>
      </c>
      <c r="T269" s="99" t="s">
        <v>4490</v>
      </c>
      <c r="U269" s="99" t="s">
        <v>4461</v>
      </c>
      <c r="V269" s="99" t="s">
        <v>953</v>
      </c>
    </row>
    <row r="270" spans="17:24">
      <c r="Q270" s="99" t="s">
        <v>4803</v>
      </c>
      <c r="R270" s="95">
        <v>37328780</v>
      </c>
      <c r="T270" s="95">
        <f>R218+R248+R285</f>
        <v>883099220</v>
      </c>
      <c r="U270" s="95">
        <f>R199</f>
        <v>1105093159.3</v>
      </c>
      <c r="V270" s="95">
        <f>U270-T270</f>
        <v>221993939.29999995</v>
      </c>
    </row>
    <row r="271" spans="17:24">
      <c r="Q271" s="99" t="s">
        <v>4812</v>
      </c>
      <c r="R271" s="95">
        <v>50000000</v>
      </c>
    </row>
    <row r="272" spans="17:24">
      <c r="Q272" s="99" t="s">
        <v>4890</v>
      </c>
      <c r="R272" s="95">
        <v>68656</v>
      </c>
    </row>
    <row r="273" spans="17:20">
      <c r="Q273" s="99" t="s">
        <v>4906</v>
      </c>
      <c r="R273" s="95">
        <v>4000236</v>
      </c>
    </row>
    <row r="274" spans="17:20">
      <c r="Q274" s="99" t="s">
        <v>4906</v>
      </c>
      <c r="R274" s="95">
        <v>2250000</v>
      </c>
    </row>
    <row r="275" spans="17:20">
      <c r="Q275" s="99" t="s">
        <v>4914</v>
      </c>
      <c r="R275" s="95">
        <v>-2512200</v>
      </c>
      <c r="T275" t="s">
        <v>25</v>
      </c>
    </row>
    <row r="276" spans="17:20">
      <c r="Q276" s="99" t="s">
        <v>4925</v>
      </c>
      <c r="R276" s="95">
        <v>300000</v>
      </c>
      <c r="T276" t="s">
        <v>25</v>
      </c>
    </row>
    <row r="277" spans="17:20">
      <c r="Q277" s="99" t="s">
        <v>981</v>
      </c>
      <c r="R277" s="95">
        <v>1100000</v>
      </c>
    </row>
    <row r="278" spans="17:20">
      <c r="Q278" s="99" t="s">
        <v>4939</v>
      </c>
      <c r="R278" s="95">
        <v>890000</v>
      </c>
      <c r="T278" t="s">
        <v>25</v>
      </c>
    </row>
    <row r="279" spans="17:20">
      <c r="Q279" s="99" t="s">
        <v>4968</v>
      </c>
      <c r="R279" s="95">
        <v>1000000</v>
      </c>
      <c r="T279" t="s">
        <v>25</v>
      </c>
    </row>
    <row r="280" spans="17:20">
      <c r="Q280" s="99" t="s">
        <v>4970</v>
      </c>
      <c r="R280" s="95">
        <v>45436311</v>
      </c>
    </row>
    <row r="281" spans="17:20">
      <c r="Q281" s="99" t="s">
        <v>4970</v>
      </c>
      <c r="R281" s="95">
        <v>-3500000</v>
      </c>
    </row>
    <row r="282" spans="17:20">
      <c r="Q282" s="99" t="s">
        <v>4993</v>
      </c>
      <c r="R282" s="95">
        <v>2520000</v>
      </c>
      <c r="T282" t="s">
        <v>25</v>
      </c>
    </row>
    <row r="283" spans="17:20">
      <c r="Q283" s="99"/>
      <c r="R283" s="95"/>
      <c r="T283" t="s">
        <v>25</v>
      </c>
    </row>
    <row r="284" spans="17:20">
      <c r="Q284" s="99"/>
      <c r="R284" s="95"/>
    </row>
    <row r="285" spans="17:20">
      <c r="Q285" s="99"/>
      <c r="R285" s="95">
        <f>SUM(R253:R284)</f>
        <v>415662945</v>
      </c>
      <c r="T285" t="s">
        <v>25</v>
      </c>
    </row>
    <row r="286" spans="17:20">
      <c r="Q286" s="99"/>
      <c r="R286" s="99" t="s">
        <v>6</v>
      </c>
      <c r="T286" t="s">
        <v>25</v>
      </c>
    </row>
    <row r="290" spans="20:20">
      <c r="T290" t="s">
        <v>25</v>
      </c>
    </row>
    <row r="291" spans="20:20">
      <c r="T291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5:I132 G123:G124 G143:G1048576 G133:G134 G136 G96:G114">
    <cfRule type="cellIs" dxfId="11" priority="12" operator="lessThan">
      <formula>0</formula>
    </cfRule>
  </conditionalFormatting>
  <conditionalFormatting sqref="G115">
    <cfRule type="cellIs" dxfId="10" priority="11" operator="lessThan">
      <formula>0</formula>
    </cfRule>
  </conditionalFormatting>
  <conditionalFormatting sqref="G118">
    <cfRule type="cellIs" dxfId="9" priority="3" operator="lessThan">
      <formula>0</formula>
    </cfRule>
  </conditionalFormatting>
  <conditionalFormatting sqref="G116">
    <cfRule type="cellIs" dxfId="8" priority="6" operator="lessThan">
      <formula>0</formula>
    </cfRule>
  </conditionalFormatting>
  <conditionalFormatting sqref="G119 G121">
    <cfRule type="cellIs" dxfId="7" priority="4" operator="lessThan">
      <formula>0</formula>
    </cfRule>
  </conditionalFormatting>
  <conditionalFormatting sqref="G122">
    <cfRule type="cellIs" dxfId="6" priority="1" operator="lessThan">
      <formula>0</formula>
    </cfRule>
  </conditionalFormatting>
  <conditionalFormatting sqref="G117">
    <cfRule type="cellIs" dxfId="5" priority="5" operator="lessThan">
      <formula>0</formula>
    </cfRule>
  </conditionalFormatting>
  <conditionalFormatting sqref="G120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4 S110 S113:S115 S118 S124:S125 S120 S135 S37:S38 S149 S147 P22 S153 S130 S101 S43 S46 S4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A79" zoomScale="90" zoomScaleNormal="90" workbookViewId="0">
      <selection activeCell="M102" sqref="M102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4645</v>
      </c>
      <c r="AE1" s="168" t="s">
        <v>4646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4635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4638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4968</v>
      </c>
      <c r="F12" s="114">
        <v>0</v>
      </c>
      <c r="J12" s="168">
        <v>11</v>
      </c>
      <c r="K12" s="168" t="s">
        <v>4665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4638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4654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4671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4685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4685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4685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4722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4722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4708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4737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4715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4737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4722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4738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4725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4731</v>
      </c>
      <c r="C23" s="99" t="s">
        <v>4732</v>
      </c>
      <c r="D23" s="99" t="s">
        <v>4733</v>
      </c>
      <c r="E23" s="69" t="s">
        <v>4734</v>
      </c>
      <c r="J23" s="215">
        <v>22</v>
      </c>
      <c r="K23" s="215" t="s">
        <v>4738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4725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4671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4738</v>
      </c>
      <c r="L24" s="222">
        <v>4388600</v>
      </c>
      <c r="M24" s="221">
        <v>5</v>
      </c>
      <c r="N24" s="222">
        <f t="shared" si="7"/>
        <v>21943000</v>
      </c>
      <c r="O24" s="223" t="s">
        <v>4753</v>
      </c>
      <c r="W24" s="215" t="s">
        <v>4738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4681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4741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4741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4685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4741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4752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4708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4752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4722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4752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4765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4725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4765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4729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4765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4735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4765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4765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4737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4765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4775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4777</v>
      </c>
    </row>
    <row r="33" spans="1:32">
      <c r="A33" s="99" t="s">
        <v>4738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4775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4741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4775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4752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4765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4968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4775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4968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4803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4803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4803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4824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4803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4840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4812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4845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4824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4856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4858</v>
      </c>
    </row>
    <row r="45" spans="1:32">
      <c r="A45" s="99" t="s">
        <v>4835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4856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4840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4884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4844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4845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4856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4860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4884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4887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4890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4899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4906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4925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4968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4970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4984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5011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4806</v>
      </c>
      <c r="K63" s="215" t="s">
        <v>180</v>
      </c>
      <c r="L63" s="228" t="s">
        <v>4804</v>
      </c>
      <c r="M63" s="228" t="s">
        <v>4805</v>
      </c>
      <c r="N63" s="215" t="s">
        <v>6</v>
      </c>
      <c r="O63" s="215" t="s">
        <v>4807</v>
      </c>
      <c r="P63" s="215" t="s">
        <v>4826</v>
      </c>
      <c r="W63" s="96"/>
      <c r="X63" s="96"/>
      <c r="Y63" s="96"/>
      <c r="Z63" s="96" t="s">
        <v>4659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4738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4660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4775</v>
      </c>
      <c r="L65" s="84">
        <v>548929344</v>
      </c>
      <c r="M65" s="84"/>
      <c r="N65" s="215"/>
      <c r="O65" s="215"/>
      <c r="P65" s="215"/>
      <c r="W65" s="96"/>
      <c r="X65" s="22" t="s">
        <v>4663</v>
      </c>
      <c r="Y65" s="22" t="s">
        <v>4662</v>
      </c>
      <c r="Z65" s="22" t="s">
        <v>4661</v>
      </c>
      <c r="AA65" s="22" t="s">
        <v>4664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4784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4791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4793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4803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4823</v>
      </c>
      <c r="J70" s="35">
        <f t="shared" si="12"/>
        <v>45893629</v>
      </c>
      <c r="K70" s="5" t="s">
        <v>4812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4824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4840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4844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4845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4856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4860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4884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4887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4913</v>
      </c>
      <c r="J80" s="35">
        <f t="shared" si="12"/>
        <v>-1984018</v>
      </c>
      <c r="K80" s="5" t="s">
        <v>4890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4899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4912</v>
      </c>
      <c r="J82" s="86">
        <f t="shared" si="12"/>
        <v>8860702</v>
      </c>
      <c r="K82" s="192" t="s">
        <v>4906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1" t="s">
        <v>4923</v>
      </c>
      <c r="J83" s="86">
        <f>L83-L82+31412200</f>
        <v>20439704</v>
      </c>
      <c r="K83" s="192" t="s">
        <v>4914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4924</v>
      </c>
      <c r="J84" s="189">
        <f t="shared" si="12"/>
        <v>21224293</v>
      </c>
      <c r="K84" s="190" t="s">
        <v>4925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4938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3" t="s">
        <v>4952</v>
      </c>
      <c r="J87" s="197">
        <f>L87-L86-20000</f>
        <v>7878257</v>
      </c>
      <c r="K87" s="191" t="s">
        <v>4939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4954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4955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4999</v>
      </c>
      <c r="J90" s="197">
        <f>L90-L89-1000000</f>
        <v>3840350</v>
      </c>
      <c r="K90" s="191" t="s">
        <v>4968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4970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4984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4989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4990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4998</v>
      </c>
      <c r="J95" s="197">
        <f>L95-L94-2520000</f>
        <v>-274657</v>
      </c>
      <c r="K95" s="191" t="s">
        <v>4993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5000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5004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5007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5009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17278812</v>
      </c>
      <c r="K100" s="215" t="s">
        <v>5011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17">
      <c r="I101" s="215"/>
      <c r="J101" s="113">
        <f t="shared" si="17"/>
        <v>287745</v>
      </c>
      <c r="K101" s="215" t="s">
        <v>5012</v>
      </c>
      <c r="L101" s="84">
        <v>721866591</v>
      </c>
      <c r="M101" s="84">
        <v>321203407</v>
      </c>
      <c r="N101" s="113">
        <f t="shared" si="22"/>
        <v>1043069998</v>
      </c>
      <c r="O101" s="113">
        <f t="shared" si="23"/>
        <v>-1059658</v>
      </c>
      <c r="P101" s="113">
        <f t="shared" si="24"/>
        <v>-771913</v>
      </c>
    </row>
    <row r="102" spans="9:17">
      <c r="I102" s="215"/>
      <c r="J102" s="113">
        <f t="shared" si="17"/>
        <v>-721866591</v>
      </c>
      <c r="K102" s="215"/>
      <c r="L102" s="84"/>
      <c r="M102" s="84"/>
      <c r="N102" s="113">
        <f t="shared" si="22"/>
        <v>0</v>
      </c>
      <c r="O102" s="113">
        <f t="shared" si="23"/>
        <v>-321203407</v>
      </c>
      <c r="P102" s="113">
        <f t="shared" si="24"/>
        <v>-1043069998</v>
      </c>
    </row>
    <row r="103" spans="9:17">
      <c r="I103" s="215"/>
      <c r="J103" s="113">
        <f t="shared" si="17"/>
        <v>0</v>
      </c>
      <c r="K103" s="215"/>
      <c r="L103" s="84"/>
      <c r="M103" s="84"/>
      <c r="N103" s="113">
        <f t="shared" si="22"/>
        <v>0</v>
      </c>
      <c r="O103" s="113">
        <f t="shared" si="23"/>
        <v>0</v>
      </c>
      <c r="P103" s="113">
        <f t="shared" si="24"/>
        <v>0</v>
      </c>
    </row>
    <row r="104" spans="9:17">
      <c r="I104" s="215"/>
      <c r="J104" s="113">
        <f t="shared" si="17"/>
        <v>0</v>
      </c>
      <c r="K104" s="215"/>
      <c r="L104" s="84"/>
      <c r="M104" s="84"/>
      <c r="N104" s="113">
        <f t="shared" si="22"/>
        <v>0</v>
      </c>
      <c r="O104" s="113">
        <f t="shared" si="23"/>
        <v>0</v>
      </c>
      <c r="P104" s="113">
        <f t="shared" si="24"/>
        <v>0</v>
      </c>
    </row>
    <row r="105" spans="9:17">
      <c r="I105" s="215"/>
      <c r="J105" s="113">
        <f t="shared" si="17"/>
        <v>0</v>
      </c>
      <c r="K105" s="215"/>
      <c r="L105" s="84"/>
      <c r="M105" s="84"/>
      <c r="N105" s="113">
        <f t="shared" si="22"/>
        <v>0</v>
      </c>
      <c r="O105" s="113">
        <f t="shared" si="23"/>
        <v>0</v>
      </c>
      <c r="P105" s="113">
        <f t="shared" si="24"/>
        <v>0</v>
      </c>
    </row>
    <row r="106" spans="9:17">
      <c r="I106" s="215"/>
      <c r="J106" s="113">
        <f t="shared" si="17"/>
        <v>0</v>
      </c>
      <c r="K106" s="215"/>
      <c r="L106" s="84"/>
      <c r="M106" s="84"/>
      <c r="N106" s="113">
        <f t="shared" si="22"/>
        <v>0</v>
      </c>
      <c r="O106" s="113">
        <f t="shared" si="23"/>
        <v>0</v>
      </c>
      <c r="P106" s="113">
        <f t="shared" si="24"/>
        <v>0</v>
      </c>
    </row>
    <row r="107" spans="9:17">
      <c r="I107" s="215"/>
      <c r="J107" s="113">
        <f t="shared" si="17"/>
        <v>0</v>
      </c>
      <c r="K107" s="215" t="s">
        <v>25</v>
      </c>
      <c r="L107" s="84"/>
      <c r="M107" s="84"/>
      <c r="N107" s="113">
        <f t="shared" si="22"/>
        <v>0</v>
      </c>
      <c r="O107" s="113">
        <f t="shared" si="23"/>
        <v>0</v>
      </c>
      <c r="P107" s="113">
        <f t="shared" si="24"/>
        <v>0</v>
      </c>
    </row>
    <row r="108" spans="9:17">
      <c r="I108" s="215"/>
      <c r="J108" s="113">
        <f t="shared" si="17"/>
        <v>0</v>
      </c>
      <c r="K108" s="215"/>
      <c r="L108" s="84"/>
      <c r="M108" s="84"/>
      <c r="N108" s="113">
        <f t="shared" si="22"/>
        <v>0</v>
      </c>
      <c r="O108" s="113">
        <f t="shared" si="23"/>
        <v>0</v>
      </c>
      <c r="P108" s="113">
        <f t="shared" si="24"/>
        <v>0</v>
      </c>
    </row>
    <row r="109" spans="9:17">
      <c r="I109" s="215"/>
      <c r="J109" s="113">
        <f t="shared" si="17"/>
        <v>0</v>
      </c>
      <c r="K109" s="215"/>
      <c r="L109" s="84"/>
      <c r="M109" s="84"/>
      <c r="N109" s="113">
        <f t="shared" si="22"/>
        <v>0</v>
      </c>
      <c r="O109" s="113">
        <f t="shared" si="23"/>
        <v>0</v>
      </c>
      <c r="P109" s="113">
        <f t="shared" si="24"/>
        <v>0</v>
      </c>
    </row>
    <row r="110" spans="9:17">
      <c r="I110" s="215"/>
      <c r="J110" s="113">
        <f t="shared" si="17"/>
        <v>0</v>
      </c>
      <c r="K110" s="215"/>
      <c r="L110" s="84"/>
      <c r="M110" s="84"/>
      <c r="N110" s="113">
        <f t="shared" si="22"/>
        <v>0</v>
      </c>
      <c r="O110" s="113">
        <f t="shared" si="23"/>
        <v>0</v>
      </c>
      <c r="P110" s="113">
        <f t="shared" si="24"/>
        <v>0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2019-04-23T10:15:00Z</dcterms:modified>
</cp:coreProperties>
</file>