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O57" i="18" l="1"/>
  <c r="O56" i="18"/>
  <c r="F57" i="32" l="1"/>
  <c r="AH6" i="32"/>
  <c r="Z24" i="32"/>
  <c r="AE5" i="32"/>
  <c r="AE6" i="32"/>
  <c r="AE7" i="32"/>
  <c r="AE8" i="32"/>
  <c r="AE4" i="32"/>
  <c r="AD8" i="32"/>
  <c r="AD16" i="36" l="1"/>
  <c r="AD17" i="36" s="1"/>
  <c r="AC16" i="36"/>
  <c r="AG15" i="36"/>
  <c r="AH15" i="36" s="1"/>
  <c r="AF15" i="36"/>
  <c r="AE17" i="36"/>
  <c r="AE16" i="36"/>
  <c r="AE15" i="36"/>
  <c r="AG16" i="36" l="1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AD7" i="32"/>
  <c r="Z32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J4" i="32"/>
  <c r="AH11" i="32"/>
  <c r="AK11" i="32" s="1"/>
  <c r="AG11" i="32"/>
  <c r="AJ11" i="32" s="1"/>
  <c r="AH10" i="32"/>
  <c r="AK10" i="32" s="1"/>
  <c r="AG10" i="32"/>
  <c r="AJ10" i="32" s="1"/>
  <c r="AH9" i="32"/>
  <c r="AK9" i="32" s="1"/>
  <c r="AK6" i="32"/>
  <c r="AG6" i="32"/>
  <c r="AJ6" i="32" s="1"/>
  <c r="AH4" i="32"/>
  <c r="AK4" i="32" s="1"/>
  <c r="AG4" i="32"/>
  <c r="AF6" i="32"/>
  <c r="AF9" i="32"/>
  <c r="AI9" i="32" s="1"/>
  <c r="AF11" i="32"/>
  <c r="AI11" i="32" s="1"/>
  <c r="AC12" i="32"/>
  <c r="AL6" i="32"/>
  <c r="AL10" i="32"/>
  <c r="AL11" i="32"/>
  <c r="AL4" i="32"/>
  <c r="AI6" i="32"/>
  <c r="AF4" i="32"/>
  <c r="AI4" i="32" s="1"/>
  <c r="AG5" i="32"/>
  <c r="AJ5" i="32" s="1"/>
  <c r="AH7" i="32"/>
  <c r="AK7" i="32" s="1"/>
  <c r="AH8" i="32"/>
  <c r="AK8" i="32" s="1"/>
  <c r="AE9" i="32"/>
  <c r="AG9" i="32" s="1"/>
  <c r="AJ9" i="32" s="1"/>
  <c r="AE10" i="32"/>
  <c r="AF10" i="32" s="1"/>
  <c r="AI10" i="32" s="1"/>
  <c r="AD5" i="32"/>
  <c r="AD6" i="32" s="1"/>
  <c r="AB12" i="32"/>
  <c r="AA12" i="32"/>
  <c r="Y12" i="32"/>
  <c r="B156" i="20"/>
  <c r="L25" i="18" l="1"/>
  <c r="Z34" i="32"/>
  <c r="AF8" i="32"/>
  <c r="AI8" i="32" s="1"/>
  <c r="AF18" i="36"/>
  <c r="AF19" i="36"/>
  <c r="AF7" i="32"/>
  <c r="AI7" i="32" s="1"/>
  <c r="AL7" i="32"/>
  <c r="AG7" i="32"/>
  <c r="AJ7" i="32" s="1"/>
  <c r="AE12" i="32"/>
  <c r="AL9" i="32"/>
  <c r="AL8" i="32"/>
  <c r="AF5" i="32"/>
  <c r="AH5" i="32"/>
  <c r="AG8" i="32"/>
  <c r="AJ8" i="32" s="1"/>
  <c r="AL5" i="32"/>
  <c r="N8" i="18"/>
  <c r="AG19" i="36" l="1"/>
  <c r="AH19" i="36" s="1"/>
  <c r="AJ12" i="32"/>
  <c r="AL12" i="32"/>
  <c r="AG12" i="32"/>
  <c r="AK5" i="32"/>
  <c r="AK12" i="32" s="1"/>
  <c r="AH12" i="32"/>
  <c r="AI5" i="32"/>
  <c r="AI12" i="32" s="1"/>
  <c r="AF12" i="32"/>
  <c r="M57" i="32" l="1"/>
  <c r="M70" i="32" s="1"/>
  <c r="K57" i="32"/>
  <c r="U57" i="32" s="1"/>
  <c r="K56" i="32"/>
  <c r="U56" i="32" s="1"/>
  <c r="R57" i="32" l="1"/>
  <c r="R70" i="32" s="1"/>
  <c r="AC15" i="32" s="1"/>
  <c r="S57" i="32"/>
  <c r="S70" i="32" s="1"/>
  <c r="AD15" i="32" s="1"/>
  <c r="L56" i="32"/>
  <c r="Q57" i="32"/>
  <c r="Q70" i="32" s="1"/>
  <c r="AB15" i="32" s="1"/>
  <c r="AB16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L27" i="18" l="1"/>
  <c r="AD16" i="32"/>
  <c r="L26" i="18"/>
  <c r="N26" i="18" s="1"/>
  <c r="AC16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N29" i="18" s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<sst xmlns="http://schemas.openxmlformats.org/spreadsheetml/2006/main" count="2842" uniqueCount="1232">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</sst>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4" fillId="0" borderId="0" xfId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5" activePane="bottomLeft" state="frozen"/>
      <selection pane="bottomLeft" activeCell="C152" sqref="C15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23" activePane="bottomLeft" state="frozen"/>
      <selection pane="bottomLeft" activeCell="E58" sqref="E58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5</v>
      </c>
      <c r="AE4" s="115">
        <f>Y4*$AE$2*AD4/36500</f>
        <v>49315.068493150684</v>
      </c>
      <c r="AF4" s="115">
        <f>AA4/$Y4*$AE4</f>
        <v>0</v>
      </c>
      <c r="AG4" s="115">
        <f t="shared" ref="AG4:AG11" si="2">AB4/$Y4*$AE4</f>
        <v>49315.068493150684</v>
      </c>
      <c r="AH4" s="115">
        <f t="shared" ref="AH4:AH11" si="3">AC4/$Y4*$AE4</f>
        <v>0</v>
      </c>
      <c r="AI4" s="115">
        <f>AA4+AF4</f>
        <v>0</v>
      </c>
      <c r="AJ4" s="115">
        <f>AB4+AG4</f>
        <v>18049315.06849315</v>
      </c>
      <c r="AK4" s="115">
        <f>AC4+AH4</f>
        <v>0</v>
      </c>
      <c r="AL4" s="116">
        <f>Y4+AE4</f>
        <v>18049315.06849315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4</v>
      </c>
      <c r="AE5" s="115">
        <f t="shared" ref="AE5:AE8" si="4">Y5*$AE$2*AD5/36500</f>
        <v>5479.4520547945203</v>
      </c>
      <c r="AF5" s="115">
        <f t="shared" ref="AF5:AF11" si="5">AA5/$Y5*$AE5</f>
        <v>0</v>
      </c>
      <c r="AG5" s="115">
        <f t="shared" si="2"/>
        <v>5479.4520547945203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2505479.4520547944</v>
      </c>
      <c r="AK5" s="115">
        <f t="shared" si="7"/>
        <v>0</v>
      </c>
      <c r="AL5" s="116">
        <f t="shared" ref="AL5:AL11" si="8">Y5+AE5</f>
        <v>2505479.4520547944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3</v>
      </c>
      <c r="AE6" s="115">
        <f t="shared" si="4"/>
        <v>13150.684931506848</v>
      </c>
      <c r="AF6" s="115">
        <f t="shared" si="5"/>
        <v>0</v>
      </c>
      <c r="AG6" s="115">
        <f t="shared" si="2"/>
        <v>2018.414794520548</v>
      </c>
      <c r="AH6" s="115">
        <f>AC6/$Y6*$AE6</f>
        <v>11132.270136986301</v>
      </c>
      <c r="AI6" s="115">
        <f t="shared" si="6"/>
        <v>0</v>
      </c>
      <c r="AJ6" s="115">
        <f t="shared" si="7"/>
        <v>1229887.4147945205</v>
      </c>
      <c r="AK6" s="115">
        <f t="shared" si="7"/>
        <v>6783263.2701369859</v>
      </c>
      <c r="AL6" s="116">
        <f t="shared" si="8"/>
        <v>8013150.6849315064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2</v>
      </c>
      <c r="AE7" s="115">
        <f t="shared" si="4"/>
        <v>-87.180273972602734</v>
      </c>
      <c r="AF7" s="115">
        <f t="shared" si="5"/>
        <v>0</v>
      </c>
      <c r="AG7" s="115">
        <f t="shared" si="2"/>
        <v>-87.180273972602734</v>
      </c>
      <c r="AH7" s="115">
        <f t="shared" si="3"/>
        <v>0</v>
      </c>
      <c r="AI7" s="115">
        <f t="shared" si="6"/>
        <v>0</v>
      </c>
      <c r="AJ7" s="115">
        <f t="shared" si="7"/>
        <v>-79639.180273972597</v>
      </c>
      <c r="AK7" s="115">
        <f t="shared" si="7"/>
        <v>0</v>
      </c>
      <c r="AL7" s="116">
        <f t="shared" si="8"/>
        <v>-79639.180273972597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1</v>
      </c>
      <c r="AE8" s="115">
        <f t="shared" si="4"/>
        <v>90.68493150684931</v>
      </c>
      <c r="AF8" s="115">
        <f t="shared" si="5"/>
        <v>90.68493150684931</v>
      </c>
      <c r="AG8" s="115">
        <f t="shared" si="2"/>
        <v>0</v>
      </c>
      <c r="AH8" s="115">
        <f t="shared" si="3"/>
        <v>0</v>
      </c>
      <c r="AI8" s="115">
        <f t="shared" si="6"/>
        <v>165590.68493150684</v>
      </c>
      <c r="AJ8" s="115">
        <f t="shared" si="7"/>
        <v>0</v>
      </c>
      <c r="AK8" s="115">
        <f t="shared" si="7"/>
        <v>0</v>
      </c>
      <c r="AL8" s="116">
        <f t="shared" si="8"/>
        <v>165590.68493150684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67948.710136986308</v>
      </c>
      <c r="AF12" s="116">
        <f t="shared" ref="AF12" si="16">SUM(AF4:AF11)</f>
        <v>90.68493150684931</v>
      </c>
      <c r="AG12" s="116">
        <f t="shared" ref="AG12" si="17">SUM(AG4:AG11)</f>
        <v>56725.755068493148</v>
      </c>
      <c r="AH12" s="116">
        <f t="shared" ref="AH12" si="18">SUM(AH4:AH11)</f>
        <v>11132.270136986301</v>
      </c>
      <c r="AI12" s="116">
        <f t="shared" ref="AI12" si="19">SUM(AI4:AI11)</f>
        <v>165590.68493150684</v>
      </c>
      <c r="AJ12" s="116">
        <f t="shared" ref="AJ12" si="20">SUM(AJ4:AJ11)</f>
        <v>21705042.755068492</v>
      </c>
      <c r="AK12" s="116">
        <f t="shared" ref="AK12" si="21">SUM(AK4:AK11)</f>
        <v>6783263.2701369859</v>
      </c>
      <c r="AL12" s="116">
        <f t="shared" ref="AL12" si="22">SUM(AL4:AL11)</f>
        <v>28653899.710136984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294868.05769452493</v>
      </c>
      <c r="AC15" s="120">
        <f>AB12+R70</f>
        <v>21754246.71682997</v>
      </c>
      <c r="AD15" s="120">
        <f>AC12+S70</f>
        <v>6794479.185475504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129277.37276301809</v>
      </c>
      <c r="AC16" s="120">
        <f t="shared" ref="AC16:AD16" si="27">AC15-AJ12</f>
        <v>49203.961761478335</v>
      </c>
      <c r="AD16" s="120">
        <f t="shared" si="27"/>
        <v>11215.915338518098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26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28870400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28870570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216670.28986301646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8</v>
      </c>
      <c r="H56" s="75">
        <v>0</v>
      </c>
      <c r="I56" s="76">
        <f>F56*G56*($AE$2-H56)/(36500)</f>
        <v>125634.3101369863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83017.082758769378</v>
      </c>
      <c r="M56" s="75"/>
      <c r="N56" s="75"/>
      <c r="O56" s="75"/>
      <c r="P56" s="108"/>
      <c r="Q56" s="75"/>
      <c r="R56" s="75"/>
      <c r="S56" s="108"/>
      <c r="T56" s="75">
        <v>83200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v>83200</v>
      </c>
      <c r="F57" s="76">
        <f>C57*E57*(1-J57/100)</f>
        <v>28849468.960000001</v>
      </c>
      <c r="G57" s="75"/>
      <c r="H57" s="75"/>
      <c r="I57" s="75"/>
      <c r="J57" s="75">
        <v>7.2499999999999995E-2</v>
      </c>
      <c r="K57" s="75">
        <f>C57*E57*J57/100</f>
        <v>20931.039999999997</v>
      </c>
      <c r="L57" s="75">
        <v>20</v>
      </c>
      <c r="M57" s="77">
        <f>F57-F56</f>
        <v>189141.96000000089</v>
      </c>
      <c r="N57" s="75">
        <v>174.5</v>
      </c>
      <c r="O57" s="75">
        <v>131.5</v>
      </c>
      <c r="P57" s="108">
        <v>41</v>
      </c>
      <c r="Q57" s="76">
        <f t="shared" ref="Q57" si="79">M57*N57/C56</f>
        <v>95116.057694524949</v>
      </c>
      <c r="R57" s="76">
        <f t="shared" ref="R57" si="80">M57*O57/C56</f>
        <v>71677.716829971527</v>
      </c>
      <c r="S57" s="109">
        <f>M57*P57/C56</f>
        <v>22348.18547550443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257645.96000000089</v>
      </c>
      <c r="N70" s="11"/>
      <c r="O70" s="11"/>
      <c r="P70" s="105"/>
      <c r="Q70" s="3">
        <f>SUM(Q44:Q69)</f>
        <v>129368.05769452495</v>
      </c>
      <c r="R70" s="119">
        <f t="shared" ref="R70:S70" si="90">SUM(R44:R69)</f>
        <v>105929.71682997153</v>
      </c>
      <c r="S70" s="119">
        <f t="shared" si="90"/>
        <v>22348.18547550443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P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93976.09602996512</v>
      </c>
      <c r="C2" s="91">
        <f>$S2/(1+($AC$3-$O2+$P2)/36500)^$N2</f>
        <v>94085.262770345274</v>
      </c>
      <c r="D2" s="91">
        <f>$S2/(1+($AC$4-$O2+$P2)/36500)^$N2</f>
        <v>94221.901228490169</v>
      </c>
      <c r="E2" s="91">
        <f>$S2/(1+($AC$5-$O2+$P2)/36500)^$N2</f>
        <v>94358.739999186044</v>
      </c>
      <c r="F2" s="91">
        <f>$S2/(1+($AC$6-$O2+$P2)/36500)^$N2</f>
        <v>94495.779378843508</v>
      </c>
      <c r="G2" s="91">
        <f>$S2/(1+($AC$7-$O2+$P2)/36500)^$N2</f>
        <v>94633.019664309468</v>
      </c>
      <c r="H2" s="91">
        <f>$S2/(1+($AC$8-$O2+$P2)/36500)^$N2</f>
        <v>94770.461152880598</v>
      </c>
      <c r="I2" s="91">
        <f>$S2/(1+($AC$9-$O2+$P2)/36500)^$N2</f>
        <v>94908.104142292388</v>
      </c>
      <c r="J2" s="91">
        <f>$S2/(1+($AC$10-$O2+$P2)/36500)^$N2</f>
        <v>95045.948930727289</v>
      </c>
      <c r="K2" s="91">
        <f>$S2/(1+($AC$11-$O2+$P2)/36500)^$N2</f>
        <v>95183.995816816954</v>
      </c>
      <c r="L2" s="91">
        <f>$S2/(1+($AC$5-$O2+$P2)/36500)^$N2</f>
        <v>94358.739999186044</v>
      </c>
      <c r="M2" s="90" t="s">
        <v>1002</v>
      </c>
      <c r="N2" s="90">
        <f>132-$AD$19</f>
        <v>106</v>
      </c>
      <c r="O2" s="90">
        <v>0</v>
      </c>
      <c r="P2" s="90">
        <v>0</v>
      </c>
      <c r="Q2" s="90">
        <v>0</v>
      </c>
      <c r="R2" s="90">
        <f t="shared" ref="R2:R29" si="0">N2/30.5</f>
        <v>3.4754098360655736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92067.860354410222</v>
      </c>
      <c r="C3" s="93">
        <f t="shared" ref="C3:C29" si="3">$S3/(1+($AC$3-$O3+$P3)/36500)^$N3</f>
        <v>92210.151377105722</v>
      </c>
      <c r="D3" s="93">
        <f t="shared" ref="D3:D29" si="4">$S3/(1+($AC$4-$O3+$P3)/36500)^$N3</f>
        <v>92388.326642664179</v>
      </c>
      <c r="E3" s="93">
        <f t="shared" ref="E3:E29" si="5">$S3/(1+($AC$5-$O3+$P3)/36500)^$N3</f>
        <v>92566.848638106676</v>
      </c>
      <c r="F3" s="93">
        <f t="shared" ref="F3:F29" si="6">$S3/(1+($AC$6-$O3+$P3)/36500)^$N3</f>
        <v>92745.71804293622</v>
      </c>
      <c r="G3" s="93">
        <f t="shared" ref="G3:G29" si="7">$S3/(1+($AC$7-$O3+$P3)/36500)^$N3</f>
        <v>92924.93553798816</v>
      </c>
      <c r="H3" s="93">
        <f t="shared" ref="H3:H29" si="8">$S3/(1+($AC$8-$O3+$P3)/36500)^$N3</f>
        <v>93104.501805450171</v>
      </c>
      <c r="I3" s="93">
        <f t="shared" ref="I3:I29" si="9">$S3/(1+($AC$9-$O3+$P3)/36500)^$N3</f>
        <v>93284.417528849401</v>
      </c>
      <c r="J3" s="93">
        <f t="shared" ref="J3:J29" si="10">$S3/(1+($AC$10-$O3+$P3)/36500)^$N3</f>
        <v>93464.683393064843</v>
      </c>
      <c r="K3" s="93">
        <f t="shared" ref="K3:K29" si="11">$S3/(1+($AC$11-$O3+$P3)/36500)^$N3</f>
        <v>93645.300084332237</v>
      </c>
      <c r="L3" s="93">
        <f t="shared" ref="L3:L29" si="12">$S3/(1+($AC$5-$O3+$P3)/36500)^$N3</f>
        <v>92566.848638106676</v>
      </c>
      <c r="M3" s="92" t="s">
        <v>1003</v>
      </c>
      <c r="N3" s="92">
        <f>167-$AD$19</f>
        <v>141</v>
      </c>
      <c r="O3" s="92">
        <v>0</v>
      </c>
      <c r="P3" s="92">
        <v>0</v>
      </c>
      <c r="Q3" s="92">
        <v>0</v>
      </c>
      <c r="R3" s="92">
        <f t="shared" si="0"/>
        <v>4.6229508196721314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90516.138464824558</v>
      </c>
      <c r="C4" s="95">
        <f t="shared" si="3"/>
        <v>90684.830379681676</v>
      </c>
      <c r="D4" s="95">
        <f t="shared" si="4"/>
        <v>90896.140053221403</v>
      </c>
      <c r="E4" s="95">
        <f t="shared" si="5"/>
        <v>91107.945014129029</v>
      </c>
      <c r="F4" s="95">
        <f t="shared" si="6"/>
        <v>91320.246430115076</v>
      </c>
      <c r="G4" s="95">
        <f t="shared" si="7"/>
        <v>91533.045471649093</v>
      </c>
      <c r="H4" s="95">
        <f t="shared" si="8"/>
        <v>91746.343311986348</v>
      </c>
      <c r="I4" s="95">
        <f t="shared" si="9"/>
        <v>91960.141127156414</v>
      </c>
      <c r="J4" s="95">
        <f t="shared" si="10"/>
        <v>92174.440095981263</v>
      </c>
      <c r="K4" s="95">
        <f t="shared" si="11"/>
        <v>92389.241400084415</v>
      </c>
      <c r="L4" s="95">
        <f t="shared" si="12"/>
        <v>91107.945014129029</v>
      </c>
      <c r="M4" s="94" t="s">
        <v>1004</v>
      </c>
      <c r="N4" s="94">
        <f>196-$AD$19</f>
        <v>170</v>
      </c>
      <c r="O4" s="94">
        <v>0</v>
      </c>
      <c r="P4" s="94">
        <v>0</v>
      </c>
      <c r="Q4" s="94">
        <v>0</v>
      </c>
      <c r="R4" s="94">
        <f t="shared" si="0"/>
        <v>5.5737704918032787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71389.13505210205</v>
      </c>
      <c r="C5" s="91">
        <f t="shared" si="3"/>
        <v>71840.141930677331</v>
      </c>
      <c r="D5" s="91">
        <f t="shared" si="4"/>
        <v>72407.916450846518</v>
      </c>
      <c r="E5" s="91">
        <f t="shared" si="5"/>
        <v>72980.186131690294</v>
      </c>
      <c r="F5" s="91">
        <f t="shared" si="6"/>
        <v>73556.986624395722</v>
      </c>
      <c r="G5" s="91">
        <f t="shared" si="7"/>
        <v>74138.353863366283</v>
      </c>
      <c r="H5" s="91">
        <f t="shared" si="8"/>
        <v>74724.324068531103</v>
      </c>
      <c r="I5" s="91">
        <f t="shared" si="9"/>
        <v>75314.933747567775</v>
      </c>
      <c r="J5" s="91">
        <f t="shared" si="10"/>
        <v>75910.219698223824</v>
      </c>
      <c r="K5" s="91">
        <f t="shared" si="11"/>
        <v>76510.219010632922</v>
      </c>
      <c r="L5" s="91">
        <f t="shared" si="12"/>
        <v>72980.186131690294</v>
      </c>
      <c r="M5" s="90" t="s">
        <v>1005</v>
      </c>
      <c r="N5" s="90">
        <f>601-$AD$19</f>
        <v>575</v>
      </c>
      <c r="O5" s="90">
        <v>0</v>
      </c>
      <c r="P5" s="90">
        <v>0</v>
      </c>
      <c r="Q5" s="90">
        <v>0</v>
      </c>
      <c r="R5" s="90">
        <f t="shared" si="0"/>
        <v>18.852459016393443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86572.508698035585</v>
      </c>
      <c r="C6" s="93">
        <f t="shared" si="3"/>
        <v>86806.077728951743</v>
      </c>
      <c r="D6" s="93">
        <f t="shared" si="4"/>
        <v>87098.928993069087</v>
      </c>
      <c r="E6" s="93">
        <f t="shared" si="5"/>
        <v>87392.772257642049</v>
      </c>
      <c r="F6" s="93">
        <f t="shared" si="6"/>
        <v>87687.610896616985</v>
      </c>
      <c r="G6" s="93">
        <f t="shared" si="7"/>
        <v>87983.448295448048</v>
      </c>
      <c r="H6" s="93">
        <f t="shared" si="8"/>
        <v>88280.287851164554</v>
      </c>
      <c r="I6" s="93">
        <f t="shared" si="9"/>
        <v>88578.132972385545</v>
      </c>
      <c r="J6" s="93">
        <f t="shared" si="10"/>
        <v>88876.987079375511</v>
      </c>
      <c r="K6" s="93">
        <f t="shared" si="11"/>
        <v>89176.85360408781</v>
      </c>
      <c r="L6" s="93">
        <f t="shared" si="12"/>
        <v>87392.772257642049</v>
      </c>
      <c r="M6" s="92" t="s">
        <v>1006</v>
      </c>
      <c r="N6" s="92">
        <f>272-$AD$19</f>
        <v>246</v>
      </c>
      <c r="O6" s="92">
        <v>0</v>
      </c>
      <c r="P6" s="92">
        <v>0</v>
      </c>
      <c r="Q6" s="92">
        <v>0</v>
      </c>
      <c r="R6" s="92">
        <f t="shared" si="0"/>
        <v>8.0655737704918025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72570.41380141952</v>
      </c>
      <c r="C7" s="95">
        <f t="shared" si="3"/>
        <v>73006.491086921131</v>
      </c>
      <c r="D7" s="95">
        <f t="shared" si="4"/>
        <v>73555.281259605763</v>
      </c>
      <c r="E7" s="95">
        <f t="shared" si="5"/>
        <v>74108.204289227651</v>
      </c>
      <c r="F7" s="95">
        <f t="shared" si="6"/>
        <v>74665.291356952381</v>
      </c>
      <c r="G7" s="95">
        <f t="shared" si="7"/>
        <v>75226.573879603078</v>
      </c>
      <c r="H7" s="95">
        <f t="shared" si="8"/>
        <v>75792.083511498262</v>
      </c>
      <c r="I7" s="95">
        <f t="shared" si="9"/>
        <v>76361.852146202451</v>
      </c>
      <c r="J7" s="95">
        <f t="shared" si="10"/>
        <v>76935.911918367972</v>
      </c>
      <c r="K7" s="95">
        <f t="shared" si="11"/>
        <v>77514.295205567963</v>
      </c>
      <c r="L7" s="95">
        <f t="shared" si="12"/>
        <v>74108.204289227651</v>
      </c>
      <c r="M7" s="94" t="s">
        <v>1007</v>
      </c>
      <c r="N7" s="94">
        <f>573-$AD$19</f>
        <v>547</v>
      </c>
      <c r="O7" s="94">
        <v>0</v>
      </c>
      <c r="P7" s="94">
        <v>0</v>
      </c>
      <c r="Q7" s="94">
        <v>0</v>
      </c>
      <c r="R7" s="94">
        <f t="shared" si="0"/>
        <v>17.934426229508198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85865.017545415962</v>
      </c>
      <c r="C8" s="91">
        <f t="shared" si="3"/>
        <v>86109.880492275523</v>
      </c>
      <c r="D8" s="91">
        <f t="shared" si="4"/>
        <v>86416.945156233298</v>
      </c>
      <c r="E8" s="91">
        <f t="shared" si="5"/>
        <v>86725.109028013409</v>
      </c>
      <c r="F8" s="91">
        <f t="shared" si="6"/>
        <v>87034.376057617585</v>
      </c>
      <c r="G8" s="91">
        <f t="shared" si="7"/>
        <v>87344.750209281541</v>
      </c>
      <c r="H8" s="91">
        <f t="shared" si="8"/>
        <v>87656.235461555902</v>
      </c>
      <c r="I8" s="91">
        <f t="shared" si="9"/>
        <v>87968.83580733175</v>
      </c>
      <c r="J8" s="91">
        <f t="shared" si="10"/>
        <v>88282.555253909057</v>
      </c>
      <c r="K8" s="91">
        <f t="shared" si="11"/>
        <v>88597.397823052859</v>
      </c>
      <c r="L8" s="91">
        <f t="shared" si="12"/>
        <v>86725.109028013409</v>
      </c>
      <c r="M8" s="90" t="s">
        <v>1009</v>
      </c>
      <c r="N8" s="90">
        <f>286-$AD$19</f>
        <v>260</v>
      </c>
      <c r="O8" s="90">
        <v>0</v>
      </c>
      <c r="P8" s="90">
        <v>0</v>
      </c>
      <c r="Q8" s="90">
        <v>0</v>
      </c>
      <c r="R8" s="90">
        <f t="shared" si="0"/>
        <v>8.5245901639344268</v>
      </c>
      <c r="S8" s="91">
        <v>100000</v>
      </c>
      <c r="T8" s="91">
        <v>86700</v>
      </c>
      <c r="U8" s="91">
        <f t="shared" si="13"/>
        <v>100000.00000000001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77131.733895272264</v>
      </c>
      <c r="C9" s="93">
        <f t="shared" si="3"/>
        <v>77506.884622030513</v>
      </c>
      <c r="D9" s="93">
        <f t="shared" si="4"/>
        <v>77978.395804625019</v>
      </c>
      <c r="E9" s="93">
        <f t="shared" si="5"/>
        <v>78452.781928093711</v>
      </c>
      <c r="F9" s="93">
        <f t="shared" si="6"/>
        <v>78930.060561520033</v>
      </c>
      <c r="G9" s="93">
        <f t="shared" si="7"/>
        <v>79410.249381574104</v>
      </c>
      <c r="H9" s="93">
        <f t="shared" si="8"/>
        <v>79893.366173218543</v>
      </c>
      <c r="I9" s="93">
        <f t="shared" si="9"/>
        <v>80379.428830332501</v>
      </c>
      <c r="J9" s="93">
        <f t="shared" si="10"/>
        <v>80868.45535640599</v>
      </c>
      <c r="K9" s="93">
        <f t="shared" si="11"/>
        <v>81360.463865218873</v>
      </c>
      <c r="L9" s="93">
        <f t="shared" si="12"/>
        <v>78452.781928093711</v>
      </c>
      <c r="M9" s="92" t="s">
        <v>1008</v>
      </c>
      <c r="N9" s="92">
        <f>469-$AD$19</f>
        <v>443</v>
      </c>
      <c r="O9" s="92">
        <v>0</v>
      </c>
      <c r="P9" s="92">
        <v>0</v>
      </c>
      <c r="Q9" s="92">
        <v>0</v>
      </c>
      <c r="R9" s="92">
        <f t="shared" si="0"/>
        <v>14.524590163934427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77131.733895272264</v>
      </c>
      <c r="C10" s="95">
        <f t="shared" si="3"/>
        <v>77506.884622030513</v>
      </c>
      <c r="D10" s="95">
        <f t="shared" si="4"/>
        <v>77978.395804625019</v>
      </c>
      <c r="E10" s="95">
        <f t="shared" si="5"/>
        <v>78452.781928093711</v>
      </c>
      <c r="F10" s="95">
        <f t="shared" si="6"/>
        <v>78930.060561520033</v>
      </c>
      <c r="G10" s="95">
        <f t="shared" si="7"/>
        <v>79410.249381574104</v>
      </c>
      <c r="H10" s="95">
        <f t="shared" si="8"/>
        <v>79893.366173218543</v>
      </c>
      <c r="I10" s="95">
        <f t="shared" si="9"/>
        <v>80379.428830332501</v>
      </c>
      <c r="J10" s="95">
        <f t="shared" si="10"/>
        <v>80868.45535640599</v>
      </c>
      <c r="K10" s="95">
        <f t="shared" si="11"/>
        <v>81360.463865218873</v>
      </c>
      <c r="L10" s="95">
        <f t="shared" si="12"/>
        <v>78452.781928093711</v>
      </c>
      <c r="M10" s="94" t="s">
        <v>1008</v>
      </c>
      <c r="N10" s="94">
        <f>469-$AD$19</f>
        <v>443</v>
      </c>
      <c r="O10" s="94">
        <v>0</v>
      </c>
      <c r="P10" s="94">
        <v>0</v>
      </c>
      <c r="Q10" s="94">
        <v>0</v>
      </c>
      <c r="R10" s="94">
        <f t="shared" si="0"/>
        <v>14.524590163934427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70515.811891394638</v>
      </c>
      <c r="C11" s="91">
        <f t="shared" si="3"/>
        <v>70977.624694683356</v>
      </c>
      <c r="D11" s="91">
        <f t="shared" si="4"/>
        <v>71559.153334971343</v>
      </c>
      <c r="E11" s="91">
        <f t="shared" si="5"/>
        <v>72145.454572576287</v>
      </c>
      <c r="F11" s="91">
        <f t="shared" si="6"/>
        <v>72736.567642298323</v>
      </c>
      <c r="G11" s="91">
        <f t="shared" si="7"/>
        <v>73332.532101996476</v>
      </c>
      <c r="H11" s="91">
        <f t="shared" si="8"/>
        <v>73933.387835309797</v>
      </c>
      <c r="I11" s="91">
        <f t="shared" si="9"/>
        <v>74539.175054294115</v>
      </c>
      <c r="J11" s="91">
        <f t="shared" si="10"/>
        <v>75149.934302162845</v>
      </c>
      <c r="K11" s="91">
        <f t="shared" si="11"/>
        <v>75765.706456026644</v>
      </c>
      <c r="L11" s="91">
        <f t="shared" si="12"/>
        <v>72145.454572576287</v>
      </c>
      <c r="M11" s="90" t="s">
        <v>1012</v>
      </c>
      <c r="N11" s="90">
        <f>622-$AD$19</f>
        <v>596</v>
      </c>
      <c r="O11" s="90">
        <v>0</v>
      </c>
      <c r="P11" s="90">
        <v>0</v>
      </c>
      <c r="Q11" s="90">
        <v>0</v>
      </c>
      <c r="R11" s="90">
        <f t="shared" si="0"/>
        <v>19.540983606557376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87234.683461837456</v>
      </c>
      <c r="C12" s="93">
        <f>$S12/(1+($AC$3-$O12+$P12)/36500)^$N12</f>
        <v>87457.585648036547</v>
      </c>
      <c r="D12" s="93">
        <f t="shared" si="4"/>
        <v>87737.017943530198</v>
      </c>
      <c r="E12" s="93">
        <f t="shared" si="5"/>
        <v>88017.346886233718</v>
      </c>
      <c r="F12" s="93">
        <f t="shared" si="6"/>
        <v>88298.575365665893</v>
      </c>
      <c r="G12" s="93">
        <f t="shared" si="7"/>
        <v>88580.706280683531</v>
      </c>
      <c r="H12" s="93">
        <f t="shared" si="8"/>
        <v>88863.742539538711</v>
      </c>
      <c r="I12" s="93">
        <f t="shared" si="9"/>
        <v>89147.687059885109</v>
      </c>
      <c r="J12" s="93">
        <f t="shared" si="10"/>
        <v>89432.542768823958</v>
      </c>
      <c r="K12" s="93">
        <f t="shared" si="11"/>
        <v>89718.312602937993</v>
      </c>
      <c r="L12" s="93">
        <f t="shared" si="12"/>
        <v>88017.346886233718</v>
      </c>
      <c r="M12" s="92" t="s">
        <v>1013</v>
      </c>
      <c r="N12" s="92">
        <f>259-$AD$19</f>
        <v>233</v>
      </c>
      <c r="O12" s="92">
        <v>0</v>
      </c>
      <c r="P12" s="92">
        <v>0</v>
      </c>
      <c r="Q12" s="92">
        <v>0</v>
      </c>
      <c r="R12" s="92">
        <f t="shared" si="0"/>
        <v>7.639344262295082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67959.422857955709</v>
      </c>
      <c r="C13" s="95">
        <f t="shared" si="3"/>
        <v>68451.709782546895</v>
      </c>
      <c r="D13" s="95">
        <f t="shared" si="4"/>
        <v>69072.093891974902</v>
      </c>
      <c r="E13" s="95">
        <f t="shared" si="5"/>
        <v>69698.109208749011</v>
      </c>
      <c r="F13" s="95">
        <f t="shared" si="6"/>
        <v>70329.806925327648</v>
      </c>
      <c r="G13" s="95">
        <f t="shared" si="7"/>
        <v>70967.238700232381</v>
      </c>
      <c r="H13" s="95">
        <f t="shared" si="8"/>
        <v>71610.456662358178</v>
      </c>
      <c r="I13" s="95">
        <f t="shared" si="9"/>
        <v>72259.51341520829</v>
      </c>
      <c r="J13" s="95">
        <f t="shared" si="10"/>
        <v>72914.462041256425</v>
      </c>
      <c r="K13" s="95">
        <f t="shared" si="11"/>
        <v>73575.356106322826</v>
      </c>
      <c r="L13" s="95">
        <f t="shared" si="12"/>
        <v>69698.109208749011</v>
      </c>
      <c r="M13" s="94" t="s">
        <v>1014</v>
      </c>
      <c r="N13" s="94">
        <f>685-$AD$19</f>
        <v>659</v>
      </c>
      <c r="O13" s="94">
        <v>0</v>
      </c>
      <c r="P13" s="94">
        <v>0</v>
      </c>
      <c r="Q13" s="94">
        <v>0</v>
      </c>
      <c r="R13" s="94">
        <f t="shared" si="0"/>
        <v>21.606557377049182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69083.950028363266</v>
      </c>
      <c r="C14" s="91">
        <f t="shared" si="3"/>
        <v>69563.046589556005</v>
      </c>
      <c r="D14" s="91">
        <f t="shared" si="4"/>
        <v>70166.599764861909</v>
      </c>
      <c r="E14" s="91">
        <f t="shared" si="5"/>
        <v>70775.39794834776</v>
      </c>
      <c r="F14" s="91">
        <f t="shared" si="6"/>
        <v>71389.486793035612</v>
      </c>
      <c r="G14" s="91">
        <f t="shared" si="7"/>
        <v>72008.912349919498</v>
      </c>
      <c r="H14" s="91">
        <f t="shared" si="8"/>
        <v>72633.721071498905</v>
      </c>
      <c r="I14" s="91">
        <f t="shared" si="9"/>
        <v>73263.959815232069</v>
      </c>
      <c r="J14" s="91">
        <f t="shared" si="10"/>
        <v>73899.675847105333</v>
      </c>
      <c r="K14" s="91">
        <f t="shared" si="11"/>
        <v>74540.916845208703</v>
      </c>
      <c r="L14" s="91">
        <f t="shared" si="12"/>
        <v>70775.39794834776</v>
      </c>
      <c r="M14" s="90" t="s">
        <v>1015</v>
      </c>
      <c r="N14" s="90">
        <f>657-$AD$19</f>
        <v>631</v>
      </c>
      <c r="O14" s="90">
        <v>0</v>
      </c>
      <c r="P14" s="90">
        <v>0</v>
      </c>
      <c r="Q14" s="90">
        <v>0</v>
      </c>
      <c r="R14" s="90">
        <f t="shared" si="0"/>
        <v>20.688524590163933</v>
      </c>
      <c r="S14" s="91">
        <v>100000</v>
      </c>
      <c r="T14" s="91">
        <v>70700</v>
      </c>
      <c r="U14" s="91">
        <f t="shared" si="13"/>
        <v>99999.999999999985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69083.950028363266</v>
      </c>
      <c r="C15" s="93">
        <f t="shared" si="3"/>
        <v>69563.046589556005</v>
      </c>
      <c r="D15" s="93">
        <f t="shared" si="4"/>
        <v>70166.599764861909</v>
      </c>
      <c r="E15" s="93">
        <f t="shared" si="5"/>
        <v>70775.39794834776</v>
      </c>
      <c r="F15" s="93">
        <f t="shared" si="6"/>
        <v>71389.486793035612</v>
      </c>
      <c r="G15" s="93">
        <f t="shared" si="7"/>
        <v>72008.912349919498</v>
      </c>
      <c r="H15" s="93">
        <f t="shared" si="8"/>
        <v>72633.721071498905</v>
      </c>
      <c r="I15" s="93">
        <f t="shared" si="9"/>
        <v>73263.959815232069</v>
      </c>
      <c r="J15" s="93">
        <f t="shared" si="10"/>
        <v>73899.675847105333</v>
      </c>
      <c r="K15" s="93">
        <f t="shared" si="11"/>
        <v>74540.916845208703</v>
      </c>
      <c r="L15" s="93">
        <f t="shared" si="12"/>
        <v>70775.39794834776</v>
      </c>
      <c r="M15" s="92" t="s">
        <v>1015</v>
      </c>
      <c r="N15" s="92">
        <f>657-$AD$19</f>
        <v>631</v>
      </c>
      <c r="O15" s="92">
        <v>0</v>
      </c>
      <c r="P15" s="92">
        <v>0</v>
      </c>
      <c r="Q15" s="92">
        <v>0</v>
      </c>
      <c r="R15" s="92">
        <f t="shared" si="0"/>
        <v>20.688524590163933</v>
      </c>
      <c r="S15" s="93">
        <v>100000</v>
      </c>
      <c r="T15" s="93">
        <v>71000</v>
      </c>
      <c r="U15" s="93">
        <f t="shared" si="13"/>
        <v>99999.999999999985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71389.13505210205</v>
      </c>
      <c r="C16" s="95">
        <f t="shared" si="3"/>
        <v>71840.141930677331</v>
      </c>
      <c r="D16" s="95">
        <f t="shared" si="4"/>
        <v>72407.916450846518</v>
      </c>
      <c r="E16" s="95">
        <f t="shared" si="5"/>
        <v>72980.186131690294</v>
      </c>
      <c r="F16" s="95">
        <f t="shared" si="6"/>
        <v>73556.986624395722</v>
      </c>
      <c r="G16" s="95">
        <f t="shared" si="7"/>
        <v>74138.353863366283</v>
      </c>
      <c r="H16" s="95">
        <f t="shared" si="8"/>
        <v>74724.324068531103</v>
      </c>
      <c r="I16" s="95">
        <f t="shared" si="9"/>
        <v>75314.933747567775</v>
      </c>
      <c r="J16" s="95">
        <f t="shared" si="10"/>
        <v>75910.219698223824</v>
      </c>
      <c r="K16" s="95">
        <f t="shared" si="11"/>
        <v>76510.219010632922</v>
      </c>
      <c r="L16" s="95">
        <f t="shared" si="12"/>
        <v>72980.186131690294</v>
      </c>
      <c r="M16" s="94" t="s">
        <v>1005</v>
      </c>
      <c r="N16" s="94">
        <f>601-$AD$19</f>
        <v>575</v>
      </c>
      <c r="O16" s="94">
        <v>0</v>
      </c>
      <c r="P16" s="94">
        <v>0</v>
      </c>
      <c r="Q16" s="94">
        <v>0</v>
      </c>
      <c r="R16" s="94">
        <f t="shared" si="0"/>
        <v>18.852459016393443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83065.397647388687</v>
      </c>
      <c r="C17" s="91">
        <f t="shared" si="3"/>
        <v>84322.685032525464</v>
      </c>
      <c r="D17" s="91">
        <f t="shared" si="4"/>
        <v>85921.109378538269</v>
      </c>
      <c r="E17" s="91">
        <f t="shared" si="5"/>
        <v>87549.856042466141</v>
      </c>
      <c r="F17" s="91">
        <f t="shared" si="6"/>
        <v>89209.500669769201</v>
      </c>
      <c r="G17" s="91">
        <f t="shared" si="7"/>
        <v>90900.629842287191</v>
      </c>
      <c r="H17" s="91">
        <f t="shared" si="8"/>
        <v>92623.841286090668</v>
      </c>
      <c r="I17" s="91">
        <f t="shared" si="9"/>
        <v>94379.744083205427</v>
      </c>
      <c r="J17" s="91">
        <f t="shared" si="10"/>
        <v>96168.958887861212</v>
      </c>
      <c r="K17" s="91">
        <f t="shared" si="11"/>
        <v>97992.118146159759</v>
      </c>
      <c r="L17" s="91">
        <f t="shared" si="12"/>
        <v>87549.856042466141</v>
      </c>
      <c r="M17" s="90" t="s">
        <v>1020</v>
      </c>
      <c r="N17" s="90">
        <f>1397-$AD$19</f>
        <v>1371</v>
      </c>
      <c r="O17" s="90">
        <v>17</v>
      </c>
      <c r="P17" s="90">
        <f>$AI$2</f>
        <v>0.54</v>
      </c>
      <c r="Q17" s="90">
        <v>6</v>
      </c>
      <c r="R17" s="90">
        <f t="shared" si="0"/>
        <v>44.950819672131146</v>
      </c>
      <c r="S17" s="91">
        <v>100000</v>
      </c>
      <c r="T17" s="91">
        <v>96000</v>
      </c>
      <c r="U17" s="91">
        <f t="shared" si="13"/>
        <v>185529.12002863127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98660.385752682603</v>
      </c>
      <c r="C18" s="93">
        <f t="shared" si="3"/>
        <v>99243.783280786171</v>
      </c>
      <c r="D18" s="93">
        <f>$S18/(1+($AC$4-$O18+$P18)/36500)^$N18</f>
        <v>99977.892859493251</v>
      </c>
      <c r="E18" s="93">
        <f t="shared" si="5"/>
        <v>100717.44283938417</v>
      </c>
      <c r="F18" s="93">
        <f t="shared" si="6"/>
        <v>101462.47361400932</v>
      </c>
      <c r="G18" s="93">
        <f t="shared" si="7"/>
        <v>102213.02587737585</v>
      </c>
      <c r="H18" s="93">
        <f t="shared" si="8"/>
        <v>102969.14062621321</v>
      </c>
      <c r="I18" s="93">
        <f t="shared" si="9"/>
        <v>103730.85916219396</v>
      </c>
      <c r="J18" s="93">
        <f t="shared" si="10"/>
        <v>104498.2230942586</v>
      </c>
      <c r="K18" s="93">
        <f t="shared" si="11"/>
        <v>105271.27434086186</v>
      </c>
      <c r="L18" s="93">
        <f t="shared" si="12"/>
        <v>100717.44283938417</v>
      </c>
      <c r="M18" s="92" t="s">
        <v>986</v>
      </c>
      <c r="N18" s="92">
        <f>564-$AD$19</f>
        <v>538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17.639344262295083</v>
      </c>
      <c r="S18" s="93">
        <v>100000</v>
      </c>
      <c r="T18" s="93">
        <v>100000</v>
      </c>
      <c r="U18" s="93">
        <f t="shared" si="13"/>
        <v>135235.97429384806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91399.230727765214</v>
      </c>
      <c r="C19" s="95">
        <f t="shared" si="3"/>
        <v>91956.744820112785</v>
      </c>
      <c r="D19" s="95">
        <f t="shared" si="4"/>
        <v>92658.430789746621</v>
      </c>
      <c r="E19" s="95">
        <f t="shared" si="5"/>
        <v>93365.480771781207</v>
      </c>
      <c r="F19" s="95">
        <f t="shared" si="6"/>
        <v>94077.935845497545</v>
      </c>
      <c r="G19" s="95">
        <f t="shared" si="7"/>
        <v>94795.837405394428</v>
      </c>
      <c r="H19" s="95">
        <f t="shared" si="8"/>
        <v>95519.227163518648</v>
      </c>
      <c r="I19" s="95">
        <f t="shared" si="9"/>
        <v>96248.147151974932</v>
      </c>
      <c r="J19" s="95">
        <f t="shared" si="10"/>
        <v>96982.639725363159</v>
      </c>
      <c r="K19" s="95">
        <f t="shared" si="11"/>
        <v>97722.747563223427</v>
      </c>
      <c r="L19" s="95">
        <f t="shared" si="12"/>
        <v>93365.480771781207</v>
      </c>
      <c r="M19" s="94" t="s">
        <v>987</v>
      </c>
      <c r="N19" s="94">
        <f>581-$AD$19</f>
        <v>555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18.196721311475411</v>
      </c>
      <c r="S19" s="95">
        <v>100000</v>
      </c>
      <c r="T19" s="95">
        <v>92000</v>
      </c>
      <c r="U19" s="95">
        <f t="shared" si="13"/>
        <v>126537.53316136985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26</v>
      </c>
      <c r="AF19" s="26"/>
    </row>
    <row r="20" spans="1:32" x14ac:dyDescent="0.25">
      <c r="A20" s="90" t="s">
        <v>961</v>
      </c>
      <c r="B20" s="91">
        <f>$S20/(1+($AC$2-$O20+$P20)/36500)^$N20</f>
        <v>98489.879959391736</v>
      </c>
      <c r="C20" s="91">
        <f t="shared" si="3"/>
        <v>99147.211038433597</v>
      </c>
      <c r="D20" s="91">
        <f t="shared" si="4"/>
        <v>99975.057910705844</v>
      </c>
      <c r="E20" s="91">
        <f t="shared" si="5"/>
        <v>100809.82851706451</v>
      </c>
      <c r="F20" s="91">
        <f t="shared" si="6"/>
        <v>101651.58086051708</v>
      </c>
      <c r="G20" s="91">
        <f t="shared" si="7"/>
        <v>102500.37343077475</v>
      </c>
      <c r="H20" s="91">
        <f t="shared" si="8"/>
        <v>103356.26520837322</v>
      </c>
      <c r="I20" s="91">
        <f t="shared" si="9"/>
        <v>104219.3156687584</v>
      </c>
      <c r="J20" s="91">
        <f t="shared" si="10"/>
        <v>105089.58478650532</v>
      </c>
      <c r="K20" s="91">
        <f t="shared" si="11"/>
        <v>105967.13303946398</v>
      </c>
      <c r="L20" s="91">
        <f t="shared" si="12"/>
        <v>100809.82851706451</v>
      </c>
      <c r="M20" s="90" t="s">
        <v>988</v>
      </c>
      <c r="N20" s="90">
        <f>633-$AD$19</f>
        <v>607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19.901639344262296</v>
      </c>
      <c r="S20" s="91">
        <v>100000</v>
      </c>
      <c r="T20" s="91">
        <v>100000</v>
      </c>
      <c r="U20" s="91">
        <f t="shared" si="13"/>
        <v>140574.05696258188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98322.13356173833</v>
      </c>
      <c r="C21" s="93">
        <f t="shared" si="3"/>
        <v>99052.13033383117</v>
      </c>
      <c r="D21" s="93">
        <f t="shared" si="4"/>
        <v>99972.264126780719</v>
      </c>
      <c r="E21" s="93">
        <f t="shared" si="5"/>
        <v>100900.95818132068</v>
      </c>
      <c r="F21" s="93">
        <f t="shared" si="6"/>
        <v>101838.29225487199</v>
      </c>
      <c r="G21" s="93">
        <f t="shared" si="7"/>
        <v>102784.34684905915</v>
      </c>
      <c r="H21" s="93">
        <f t="shared" si="8"/>
        <v>103739.20321669779</v>
      </c>
      <c r="I21" s="93">
        <f t="shared" si="9"/>
        <v>104702.94336877033</v>
      </c>
      <c r="J21" s="93">
        <f t="shared" si="10"/>
        <v>105675.65008157707</v>
      </c>
      <c r="K21" s="93">
        <f t="shared" si="11"/>
        <v>106657.40690383302</v>
      </c>
      <c r="L21" s="93">
        <f t="shared" si="12"/>
        <v>100900.95818132068</v>
      </c>
      <c r="M21" s="92" t="s">
        <v>989</v>
      </c>
      <c r="N21" s="92">
        <f>701-$AD$19</f>
        <v>675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22.131147540983605</v>
      </c>
      <c r="S21" s="93">
        <v>100000</v>
      </c>
      <c r="T21" s="93">
        <v>100000</v>
      </c>
      <c r="U21" s="93">
        <f t="shared" si="13"/>
        <v>146040.88544497179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92747.199924956309</v>
      </c>
      <c r="C22" s="95">
        <f t="shared" si="3"/>
        <v>93463.396586988383</v>
      </c>
      <c r="D22" s="95">
        <f t="shared" si="4"/>
        <v>94366.435852349663</v>
      </c>
      <c r="E22" s="95">
        <f t="shared" si="5"/>
        <v>95278.212792861479</v>
      </c>
      <c r="F22" s="95">
        <f t="shared" si="6"/>
        <v>96198.812074426256</v>
      </c>
      <c r="G22" s="95">
        <f t="shared" si="7"/>
        <v>97128.319184477543</v>
      </c>
      <c r="H22" s="95">
        <f t="shared" si="8"/>
        <v>98066.820440041221</v>
      </c>
      <c r="I22" s="95">
        <f t="shared" si="9"/>
        <v>99014.402995706288</v>
      </c>
      <c r="J22" s="95">
        <f t="shared" si="10"/>
        <v>99971.154851876141</v>
      </c>
      <c r="K22" s="95">
        <f t="shared" si="11"/>
        <v>100937.1648628713</v>
      </c>
      <c r="L22" s="95">
        <f t="shared" si="12"/>
        <v>95278.212792861479</v>
      </c>
      <c r="M22" s="94" t="s">
        <v>1018</v>
      </c>
      <c r="N22" s="94">
        <f>728-$AD$19</f>
        <v>702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23.016393442622952</v>
      </c>
      <c r="S22" s="95">
        <v>100000</v>
      </c>
      <c r="T22" s="95">
        <v>95000</v>
      </c>
      <c r="U22" s="95">
        <f t="shared" si="13"/>
        <v>139957.73222195302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90075.959789352739</v>
      </c>
      <c r="C23" s="91">
        <f t="shared" si="3"/>
        <v>90714.816281811363</v>
      </c>
      <c r="D23" s="91">
        <f t="shared" si="4"/>
        <v>91519.772397319524</v>
      </c>
      <c r="E23" s="91">
        <f t="shared" si="5"/>
        <v>92331.882447298078</v>
      </c>
      <c r="F23" s="91">
        <f t="shared" si="6"/>
        <v>93151.210110599539</v>
      </c>
      <c r="G23" s="91">
        <f t="shared" si="7"/>
        <v>93977.819633838968</v>
      </c>
      <c r="H23" s="91">
        <f t="shared" si="8"/>
        <v>94811.775836357294</v>
      </c>
      <c r="I23" s="91">
        <f t="shared" si="9"/>
        <v>95653.144115414616</v>
      </c>
      <c r="J23" s="91">
        <f t="shared" si="10"/>
        <v>96501.990451324586</v>
      </c>
      <c r="K23" s="91">
        <f t="shared" si="11"/>
        <v>97358.381412621748</v>
      </c>
      <c r="L23" s="91">
        <f t="shared" si="12"/>
        <v>92331.882447298078</v>
      </c>
      <c r="M23" s="90" t="s">
        <v>990</v>
      </c>
      <c r="N23" s="90">
        <f>671-$AD$19</f>
        <v>645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21.147540983606557</v>
      </c>
      <c r="S23" s="91">
        <v>100000</v>
      </c>
      <c r="T23" s="91">
        <v>90600</v>
      </c>
      <c r="U23" s="91">
        <f t="shared" si="13"/>
        <v>131460.55961515597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83333.12663802637</v>
      </c>
      <c r="C24" s="93">
        <f t="shared" si="3"/>
        <v>84213.378449189462</v>
      </c>
      <c r="D24" s="93">
        <f>$S24/(1+($AC$4-$O24+$P24)/36500)^$N24</f>
        <v>85326.794027351774</v>
      </c>
      <c r="E24" s="93">
        <f t="shared" si="5"/>
        <v>86454.946029306477</v>
      </c>
      <c r="F24" s="93">
        <f t="shared" si="6"/>
        <v>87598.029702366053</v>
      </c>
      <c r="G24" s="93">
        <f t="shared" si="7"/>
        <v>88756.24288348385</v>
      </c>
      <c r="H24" s="93">
        <f t="shared" si="8"/>
        <v>89929.786033535784</v>
      </c>
      <c r="I24" s="93">
        <f t="shared" si="9"/>
        <v>91118.862272327227</v>
      </c>
      <c r="J24" s="93">
        <f t="shared" si="10"/>
        <v>92323.677413723068</v>
      </c>
      <c r="K24" s="93">
        <f t="shared" si="11"/>
        <v>93544.440001568946</v>
      </c>
      <c r="L24" s="93">
        <f t="shared" si="12"/>
        <v>86454.946029306477</v>
      </c>
      <c r="M24" s="92" t="s">
        <v>991</v>
      </c>
      <c r="N24" s="92">
        <f>985-$AD$19</f>
        <v>959</v>
      </c>
      <c r="O24" s="92">
        <v>15</v>
      </c>
      <c r="P24" s="92">
        <f>$AI$2</f>
        <v>0.54</v>
      </c>
      <c r="Q24" s="92">
        <v>6</v>
      </c>
      <c r="R24" s="92">
        <f t="shared" si="0"/>
        <v>31.442622950819672</v>
      </c>
      <c r="S24" s="93">
        <v>100000</v>
      </c>
      <c r="T24" s="93">
        <v>85800</v>
      </c>
      <c r="U24" s="93">
        <f t="shared" si="13"/>
        <v>146195.44620997706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82075.90776135042</v>
      </c>
      <c r="C25" s="95">
        <f t="shared" si="3"/>
        <v>82379.410270893015</v>
      </c>
      <c r="D25" s="95">
        <f t="shared" si="4"/>
        <v>82760.371832792589</v>
      </c>
      <c r="E25" s="95">
        <f t="shared" si="5"/>
        <v>83143.100394060442</v>
      </c>
      <c r="F25" s="95">
        <f t="shared" si="6"/>
        <v>83527.604174871245</v>
      </c>
      <c r="G25" s="95">
        <f t="shared" si="7"/>
        <v>83913.891433735364</v>
      </c>
      <c r="H25" s="95">
        <f t="shared" si="8"/>
        <v>84301.97046771484</v>
      </c>
      <c r="I25" s="95">
        <f t="shared" si="9"/>
        <v>84691.849612570964</v>
      </c>
      <c r="J25" s="95">
        <f t="shared" si="10"/>
        <v>85083.53724296618</v>
      </c>
      <c r="K25" s="95">
        <f t="shared" si="11"/>
        <v>85477.041772650875</v>
      </c>
      <c r="L25" s="95">
        <f t="shared" si="12"/>
        <v>83143.100394060442</v>
      </c>
      <c r="M25" s="94" t="s">
        <v>992</v>
      </c>
      <c r="N25" s="94">
        <f>363-$AD$19</f>
        <v>337</v>
      </c>
      <c r="O25" s="94">
        <v>0</v>
      </c>
      <c r="P25" s="94">
        <v>0</v>
      </c>
      <c r="Q25" s="94">
        <v>0</v>
      </c>
      <c r="R25" s="94">
        <f t="shared" si="0"/>
        <v>11.049180327868852</v>
      </c>
      <c r="S25" s="95">
        <v>100000</v>
      </c>
      <c r="T25" s="95">
        <v>82800</v>
      </c>
      <c r="U25" s="95">
        <f>B25*(1+$AC$2/36500)^N25</f>
        <v>100000.00000000001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93602.069288108862</v>
      </c>
      <c r="C26" s="91">
        <f t="shared" si="3"/>
        <v>94886.810979054091</v>
      </c>
      <c r="D26" s="91">
        <f t="shared" si="4"/>
        <v>96517.584206667714</v>
      </c>
      <c r="E26" s="91">
        <f t="shared" si="5"/>
        <v>98176.407653358299</v>
      </c>
      <c r="F26" s="91">
        <f t="shared" si="6"/>
        <v>99863.764192931209</v>
      </c>
      <c r="G26" s="91">
        <f t="shared" si="7"/>
        <v>101580.14501842142</v>
      </c>
      <c r="H26" s="91">
        <f t="shared" si="8"/>
        <v>103326.04978562161</v>
      </c>
      <c r="I26" s="91">
        <f t="shared" si="9"/>
        <v>105101.98675894817</v>
      </c>
      <c r="J26" s="91">
        <f t="shared" si="10"/>
        <v>106908.47295988323</v>
      </c>
      <c r="K26" s="91">
        <f t="shared" si="11"/>
        <v>108746.03431803778</v>
      </c>
      <c r="L26" s="91">
        <f t="shared" si="12"/>
        <v>98176.407653358299</v>
      </c>
      <c r="M26" s="90" t="s">
        <v>983</v>
      </c>
      <c r="N26" s="90">
        <f>1270-$AD$19</f>
        <v>1244</v>
      </c>
      <c r="O26" s="90">
        <v>20</v>
      </c>
      <c r="P26" s="90">
        <f>$AI$2</f>
        <v>0.54</v>
      </c>
      <c r="Q26" s="90">
        <v>6</v>
      </c>
      <c r="R26" s="90">
        <f t="shared" si="0"/>
        <v>40.786885245901637</v>
      </c>
      <c r="S26" s="91">
        <v>100000</v>
      </c>
      <c r="T26" s="91">
        <v>100000</v>
      </c>
      <c r="U26" s="91">
        <f t="shared" si="13"/>
        <v>194065.87564430304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100076.41283032292</v>
      </c>
      <c r="C27" s="93">
        <f t="shared" si="3"/>
        <v>100436.78966946244</v>
      </c>
      <c r="D27" s="93">
        <f t="shared" si="4"/>
        <v>100889.09177757721</v>
      </c>
      <c r="E27" s="93">
        <f t="shared" si="5"/>
        <v>101343.43699882684</v>
      </c>
      <c r="F27" s="93">
        <f t="shared" si="6"/>
        <v>101799.83459042809</v>
      </c>
      <c r="G27" s="93">
        <f t="shared" si="7"/>
        <v>102258.29385165543</v>
      </c>
      <c r="H27" s="93">
        <f t="shared" si="8"/>
        <v>102718.82412406411</v>
      </c>
      <c r="I27" s="93">
        <f t="shared" si="9"/>
        <v>103181.43479165663</v>
      </c>
      <c r="J27" s="93">
        <f t="shared" si="10"/>
        <v>103646.1352810839</v>
      </c>
      <c r="K27" s="93">
        <f t="shared" si="11"/>
        <v>104112.93506184319</v>
      </c>
      <c r="L27" s="93">
        <f t="shared" si="12"/>
        <v>101343.43699882684</v>
      </c>
      <c r="M27" s="92" t="s">
        <v>985</v>
      </c>
      <c r="N27" s="92">
        <f>354-$AD$19</f>
        <v>328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10.754098360655737</v>
      </c>
      <c r="S27" s="93">
        <v>100000</v>
      </c>
      <c r="T27" s="93">
        <v>103000</v>
      </c>
      <c r="U27" s="93">
        <f t="shared" si="13"/>
        <v>121290.01778463993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99182.542087917245</v>
      </c>
      <c r="C28" s="95">
        <f t="shared" si="3"/>
        <v>100000</v>
      </c>
      <c r="D28" s="95">
        <f t="shared" si="4"/>
        <v>101031.31620696204</v>
      </c>
      <c r="E28" s="95">
        <f t="shared" si="5"/>
        <v>102073.28289207247</v>
      </c>
      <c r="F28" s="95">
        <f t="shared" si="6"/>
        <v>103126.01019178034</v>
      </c>
      <c r="G28" s="95">
        <f t="shared" si="7"/>
        <v>104189.60938294475</v>
      </c>
      <c r="H28" s="95">
        <f t="shared" si="8"/>
        <v>105264.19289476273</v>
      </c>
      <c r="I28" s="95">
        <f t="shared" si="9"/>
        <v>106349.87432060597</v>
      </c>
      <c r="J28" s="95">
        <f t="shared" si="10"/>
        <v>107446.7684301658</v>
      </c>
      <c r="K28" s="95">
        <f t="shared" si="11"/>
        <v>108554.99118160956</v>
      </c>
      <c r="L28" s="95">
        <f t="shared" si="12"/>
        <v>102073.28289207247</v>
      </c>
      <c r="M28" s="94" t="s">
        <v>1011</v>
      </c>
      <c r="N28" s="94">
        <f>775-$AD$19</f>
        <v>749</v>
      </c>
      <c r="O28" s="94">
        <v>21</v>
      </c>
      <c r="P28" s="94">
        <v>0</v>
      </c>
      <c r="Q28" s="94">
        <v>1</v>
      </c>
      <c r="R28" s="94">
        <f t="shared" si="0"/>
        <v>24.557377049180328</v>
      </c>
      <c r="S28" s="95">
        <v>100000</v>
      </c>
      <c r="T28" s="95">
        <v>104000</v>
      </c>
      <c r="U28" s="95">
        <f t="shared" si="13"/>
        <v>153849.22340256517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83810.661029977724</v>
      </c>
      <c r="C29" s="91">
        <f t="shared" si="3"/>
        <v>85017.722283427269</v>
      </c>
      <c r="D29" s="91">
        <f t="shared" si="4"/>
        <v>86551.043975647699</v>
      </c>
      <c r="E29" s="91">
        <f t="shared" si="5"/>
        <v>88112.041185513168</v>
      </c>
      <c r="F29" s="91">
        <f t="shared" si="6"/>
        <v>89701.213828497508</v>
      </c>
      <c r="G29" s="91">
        <f t="shared" si="7"/>
        <v>91319.070857396204</v>
      </c>
      <c r="H29" s="91">
        <f t="shared" si="8"/>
        <v>92966.130425753698</v>
      </c>
      <c r="I29" s="91">
        <f t="shared" si="9"/>
        <v>94642.920054171656</v>
      </c>
      <c r="J29" s="91">
        <f t="shared" si="10"/>
        <v>96349.976800102522</v>
      </c>
      <c r="K29" s="91">
        <f t="shared" si="11"/>
        <v>98087.847430053196</v>
      </c>
      <c r="L29" s="91">
        <f t="shared" si="12"/>
        <v>88112.041185513168</v>
      </c>
      <c r="M29" s="90" t="s">
        <v>1061</v>
      </c>
      <c r="N29" s="90">
        <f>1331-$AD$19</f>
        <v>1305</v>
      </c>
      <c r="O29" s="90">
        <v>17</v>
      </c>
      <c r="P29" s="90">
        <f>AI2</f>
        <v>0.54</v>
      </c>
      <c r="Q29" s="90">
        <v>6</v>
      </c>
      <c r="R29" s="90">
        <f t="shared" si="0"/>
        <v>42.786885245901637</v>
      </c>
      <c r="S29" s="91">
        <v>100000</v>
      </c>
      <c r="T29" s="91"/>
      <c r="U29" s="91">
        <f t="shared" si="13"/>
        <v>180090.46324244203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5" width="17.85546875" bestFit="1" customWidth="1"/>
    <col min="26" max="26" width="16.140625" bestFit="1" customWidth="1"/>
    <col min="28" max="29" width="14.140625" bestFit="1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29" t="s">
        <v>1121</v>
      </c>
      <c r="AI1" s="129"/>
      <c r="AJ1" s="129"/>
      <c r="AK1" s="129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11</v>
      </c>
      <c r="W2" s="11">
        <f>W3+V2</f>
        <v>11</v>
      </c>
      <c r="X2" s="84">
        <f>S2*W2</f>
        <v>1848000000</v>
      </c>
      <c r="Y2" s="84">
        <f>T2*W2</f>
        <v>1001000000</v>
      </c>
      <c r="Z2" s="84">
        <f>U2*W2</f>
        <v>847000000</v>
      </c>
      <c r="AH2" s="129"/>
      <c r="AI2" s="129"/>
      <c r="AJ2" s="129"/>
      <c r="AK2" s="129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0" t="s">
        <v>1122</v>
      </c>
      <c r="AI3" s="131" t="s">
        <v>1123</v>
      </c>
      <c r="AJ3" s="130" t="s">
        <v>1124</v>
      </c>
      <c r="AK3" s="132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0"/>
      <c r="AI4" s="131"/>
      <c r="AJ4" s="130"/>
      <c r="AK4" s="132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33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33</v>
      </c>
      <c r="AF15" s="101">
        <f>AB15-AC15</f>
        <v>240000</v>
      </c>
      <c r="AG15" s="105">
        <f>(AB15-AC15)/(AC15+AD15)*365/AE15*100</f>
        <v>115.91901548233426</v>
      </c>
      <c r="AH15" s="105">
        <f>AG15/12</f>
        <v>9.6599179568611877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97</v>
      </c>
      <c r="AF16" s="101">
        <f t="shared" ref="AF16:AF19" si="10">AB16-AC16</f>
        <v>318000</v>
      </c>
      <c r="AG16" s="105">
        <f t="shared" ref="AG16:AG19" si="11">(AB16-AC16)/(AC16+AD16)*365/AE16*100</f>
        <v>52.253185071804801</v>
      </c>
      <c r="AH16" s="105">
        <f t="shared" ref="AH16:AH19" si="12">AG16/12</f>
        <v>4.3544320893170667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9" si="14">AC16</f>
        <v>1590000</v>
      </c>
      <c r="AD17" s="116">
        <f t="shared" si="14"/>
        <v>700000</v>
      </c>
      <c r="AE17" s="105">
        <f>AE16+61</f>
        <v>158</v>
      </c>
      <c r="AF17" s="101">
        <f t="shared" si="10"/>
        <v>349000</v>
      </c>
      <c r="AG17" s="105">
        <f t="shared" si="11"/>
        <v>35.206732629484272</v>
      </c>
      <c r="AH17" s="105">
        <f t="shared" si="12"/>
        <v>2.9338943857903561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1960000</v>
      </c>
      <c r="AC18" s="116">
        <v>1400000</v>
      </c>
      <c r="AD18" s="116">
        <v>700000</v>
      </c>
      <c r="AE18" s="105">
        <f>AE17+62</f>
        <v>220</v>
      </c>
      <c r="AF18" s="101">
        <f t="shared" si="10"/>
        <v>560000</v>
      </c>
      <c r="AG18" s="105">
        <f t="shared" si="11"/>
        <v>44.242424242424235</v>
      </c>
      <c r="AH18" s="105">
        <f t="shared" si="12"/>
        <v>3.6868686868686864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2270000</v>
      </c>
      <c r="AC19" s="116">
        <v>1400000</v>
      </c>
      <c r="AD19" s="116">
        <v>800000</v>
      </c>
      <c r="AE19" s="105">
        <f>AE18+57</f>
        <v>277</v>
      </c>
      <c r="AF19" s="101">
        <f t="shared" si="10"/>
        <v>870000</v>
      </c>
      <c r="AG19" s="105">
        <f t="shared" si="11"/>
        <v>52.108631440761414</v>
      </c>
      <c r="AH19" s="105">
        <f t="shared" si="12"/>
        <v>4.3423859533967848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1848000000</v>
      </c>
      <c r="Y22" s="29">
        <f t="shared" si="19"/>
        <v>1001000000</v>
      </c>
      <c r="Z22" s="29">
        <f t="shared" si="19"/>
        <v>847000000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1344</v>
      </c>
    </row>
    <row r="40" spans="6:7" x14ac:dyDescent="0.25">
      <c r="F40" s="98" t="s">
        <v>1154</v>
      </c>
      <c r="G40" s="98">
        <v>7000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2219268.0900321542</v>
      </c>
    </row>
    <row r="43" spans="6:7" x14ac:dyDescent="0.25">
      <c r="F43" s="99"/>
      <c r="G43" s="100"/>
    </row>
    <row r="44" spans="6:7" x14ac:dyDescent="0.25">
      <c r="F44" s="99"/>
      <c r="G44" s="99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7" workbookViewId="0">
      <selection activeCell="I30" sqref="I30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16.570312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33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33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20" spans="1:9" x14ac:dyDescent="0.25">
      <c r="A20">
        <v>2</v>
      </c>
      <c r="B20" t="s">
        <v>1220</v>
      </c>
      <c r="G20" t="s">
        <v>1221</v>
      </c>
      <c r="H20" t="s">
        <v>1222</v>
      </c>
    </row>
    <row r="21" spans="1:9" x14ac:dyDescent="0.25">
      <c r="G21" s="133" t="s">
        <v>1223</v>
      </c>
      <c r="H21" t="s">
        <v>1224</v>
      </c>
    </row>
    <row r="30" spans="1:9" x14ac:dyDescent="0.25">
      <c r="A30">
        <v>3</v>
      </c>
      <c r="B30" t="s">
        <v>1228</v>
      </c>
      <c r="G30" t="s">
        <v>1229</v>
      </c>
      <c r="H30" s="133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8" sqref="G19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680</v>
      </c>
      <c r="E2" s="11">
        <f>IF(B2&gt;0,1,0)</f>
        <v>1</v>
      </c>
      <c r="F2" s="11">
        <f>B2*(D2-E2)</f>
        <v>65659300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678</v>
      </c>
      <c r="E3" s="11">
        <f t="shared" ref="E3:E66" si="1">IF(B3&gt;0,1,0)</f>
        <v>1</v>
      </c>
      <c r="F3" s="11">
        <f t="shared" ref="F3:F66" si="2">B3*(D3-E3)</f>
        <v>2031000000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675</v>
      </c>
      <c r="E4" s="11">
        <f t="shared" si="1"/>
        <v>0</v>
      </c>
      <c r="F4" s="11">
        <f t="shared" si="2"/>
        <v>-135000000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673</v>
      </c>
      <c r="E5" s="11">
        <f t="shared" si="1"/>
        <v>0</v>
      </c>
      <c r="F5" s="11">
        <f t="shared" si="2"/>
        <v>-67300000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672</v>
      </c>
      <c r="E6" s="11">
        <f t="shared" si="1"/>
        <v>0</v>
      </c>
      <c r="F6" s="11">
        <f t="shared" si="2"/>
        <v>-36960000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671</v>
      </c>
      <c r="E7" s="11">
        <f t="shared" si="1"/>
        <v>0</v>
      </c>
      <c r="F7" s="11">
        <f t="shared" si="2"/>
        <v>-134200000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667</v>
      </c>
      <c r="E8" s="11">
        <f t="shared" si="1"/>
        <v>0</v>
      </c>
      <c r="F8" s="11">
        <f t="shared" si="2"/>
        <v>-133400000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657</v>
      </c>
      <c r="E9" s="11">
        <f t="shared" si="1"/>
        <v>0</v>
      </c>
      <c r="F9" s="11">
        <f t="shared" si="2"/>
        <v>-624478500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656</v>
      </c>
      <c r="E10" s="11">
        <f t="shared" si="1"/>
        <v>1</v>
      </c>
      <c r="F10" s="11">
        <f t="shared" si="2"/>
        <v>1310000000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654</v>
      </c>
      <c r="E11" s="11">
        <f t="shared" si="1"/>
        <v>0</v>
      </c>
      <c r="F11" s="11">
        <f t="shared" si="2"/>
        <v>-696510000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651</v>
      </c>
      <c r="E12" s="11">
        <f t="shared" si="1"/>
        <v>0</v>
      </c>
      <c r="F12" s="11">
        <f t="shared" si="2"/>
        <v>-29295000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650</v>
      </c>
      <c r="E13" s="11">
        <f t="shared" si="1"/>
        <v>0</v>
      </c>
      <c r="F13" s="11">
        <f t="shared" si="2"/>
        <v>-1300455000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646</v>
      </c>
      <c r="E14" s="11">
        <f t="shared" si="1"/>
        <v>0</v>
      </c>
      <c r="F14" s="11">
        <f t="shared" si="2"/>
        <v>-129200000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644</v>
      </c>
      <c r="E15" s="11">
        <f t="shared" si="1"/>
        <v>1</v>
      </c>
      <c r="F15" s="11">
        <f t="shared" si="2"/>
        <v>1286000000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644</v>
      </c>
      <c r="E16" s="11">
        <f t="shared" si="1"/>
        <v>1</v>
      </c>
      <c r="F16" s="11">
        <f t="shared" si="2"/>
        <v>1286000000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644</v>
      </c>
      <c r="E17" s="11">
        <f t="shared" si="1"/>
        <v>1</v>
      </c>
      <c r="F17" s="11">
        <f t="shared" si="2"/>
        <v>771600000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644</v>
      </c>
      <c r="E18" s="11">
        <f t="shared" si="1"/>
        <v>1</v>
      </c>
      <c r="F18" s="11">
        <f t="shared" si="2"/>
        <v>643000000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643</v>
      </c>
      <c r="E19" s="11">
        <f t="shared" si="1"/>
        <v>1</v>
      </c>
      <c r="F19" s="11">
        <f t="shared" si="2"/>
        <v>1926000000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643</v>
      </c>
      <c r="E20" s="11">
        <f t="shared" si="1"/>
        <v>0</v>
      </c>
      <c r="F20" s="11">
        <f t="shared" si="2"/>
        <v>-278226100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643</v>
      </c>
      <c r="E21" s="11">
        <f t="shared" si="1"/>
        <v>0</v>
      </c>
      <c r="F21" s="11">
        <f t="shared" si="2"/>
        <v>-278226100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643</v>
      </c>
      <c r="E22" s="11">
        <f t="shared" si="1"/>
        <v>0</v>
      </c>
      <c r="F22" s="11">
        <f t="shared" si="2"/>
        <v>-278226100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643</v>
      </c>
      <c r="E23" s="11">
        <f t="shared" si="1"/>
        <v>0</v>
      </c>
      <c r="F23" s="11">
        <f t="shared" si="2"/>
        <v>-278226100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643</v>
      </c>
      <c r="E24" s="11">
        <f t="shared" si="1"/>
        <v>0</v>
      </c>
      <c r="F24" s="11">
        <f t="shared" si="2"/>
        <v>-278226100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643</v>
      </c>
      <c r="E25" s="11">
        <f t="shared" si="1"/>
        <v>0</v>
      </c>
      <c r="F25" s="11">
        <f t="shared" si="2"/>
        <v>-128600000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642</v>
      </c>
      <c r="E26" s="11">
        <f t="shared" si="1"/>
        <v>1</v>
      </c>
      <c r="F26" s="11">
        <f t="shared" si="2"/>
        <v>1923000000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640</v>
      </c>
      <c r="E27" s="11">
        <f t="shared" si="1"/>
        <v>0</v>
      </c>
      <c r="F27" s="11">
        <f t="shared" si="2"/>
        <v>-128000000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639</v>
      </c>
      <c r="E28" s="11">
        <f t="shared" si="1"/>
        <v>1</v>
      </c>
      <c r="F28" s="11">
        <f t="shared" si="2"/>
        <v>1276000000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638</v>
      </c>
      <c r="E29" s="11">
        <f t="shared" si="1"/>
        <v>0</v>
      </c>
      <c r="F29" s="11">
        <f t="shared" si="2"/>
        <v>-4466510400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637</v>
      </c>
      <c r="E30" s="11">
        <f t="shared" si="1"/>
        <v>0</v>
      </c>
      <c r="F30" s="11">
        <f t="shared" si="2"/>
        <v>-1911573300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636</v>
      </c>
      <c r="E31" s="11">
        <f t="shared" si="1"/>
        <v>0</v>
      </c>
      <c r="F31" s="11">
        <f t="shared" si="2"/>
        <v>-1078592400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633</v>
      </c>
      <c r="E32" s="11">
        <f t="shared" si="1"/>
        <v>1</v>
      </c>
      <c r="F32" s="11">
        <f t="shared" si="2"/>
        <v>628397600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627</v>
      </c>
      <c r="E33" s="11">
        <f t="shared" si="1"/>
        <v>1</v>
      </c>
      <c r="F33" s="11">
        <f t="shared" si="2"/>
        <v>21966966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626</v>
      </c>
      <c r="E34" s="11">
        <f t="shared" si="1"/>
        <v>0</v>
      </c>
      <c r="F34" s="11">
        <f t="shared" si="2"/>
        <v>-532100000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618</v>
      </c>
      <c r="E35" s="11">
        <f t="shared" si="1"/>
        <v>0</v>
      </c>
      <c r="F35" s="11">
        <f t="shared" si="2"/>
        <v>-117729000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617</v>
      </c>
      <c r="E36" s="11">
        <f t="shared" si="1"/>
        <v>1</v>
      </c>
      <c r="F36" s="11">
        <f t="shared" si="2"/>
        <v>123200000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617</v>
      </c>
      <c r="E37" s="11">
        <f t="shared" si="1"/>
        <v>0</v>
      </c>
      <c r="F37" s="11">
        <f t="shared" si="2"/>
        <v>-123400000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595</v>
      </c>
      <c r="E38" s="11">
        <f t="shared" si="1"/>
        <v>1</v>
      </c>
      <c r="F38" s="11">
        <f t="shared" si="2"/>
        <v>178678764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594</v>
      </c>
      <c r="E39" s="11">
        <f t="shared" si="1"/>
        <v>0</v>
      </c>
      <c r="F39" s="11">
        <f t="shared" si="2"/>
        <v>-56430000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594</v>
      </c>
      <c r="E40" s="11">
        <f t="shared" si="1"/>
        <v>0</v>
      </c>
      <c r="F40" s="11">
        <f t="shared" si="2"/>
        <v>-52333182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589</v>
      </c>
      <c r="E41" s="11">
        <f t="shared" si="1"/>
        <v>0</v>
      </c>
      <c r="F41" s="11">
        <f t="shared" si="2"/>
        <v>-70680000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567</v>
      </c>
      <c r="E42" s="11">
        <f t="shared" si="1"/>
        <v>1</v>
      </c>
      <c r="F42" s="11">
        <f t="shared" si="2"/>
        <v>566115464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563</v>
      </c>
      <c r="E43" s="11">
        <f t="shared" si="1"/>
        <v>0</v>
      </c>
      <c r="F43" s="11">
        <f t="shared" si="2"/>
        <v>-45040000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559</v>
      </c>
      <c r="E44" s="11">
        <f t="shared" si="1"/>
        <v>0</v>
      </c>
      <c r="F44" s="11">
        <f t="shared" si="2"/>
        <v>-117965211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558</v>
      </c>
      <c r="E45" s="11">
        <f t="shared" si="1"/>
        <v>0</v>
      </c>
      <c r="F45" s="11">
        <f t="shared" si="2"/>
        <v>-111600000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557</v>
      </c>
      <c r="E46" s="11">
        <f t="shared" si="1"/>
        <v>0</v>
      </c>
      <c r="F46" s="11">
        <f t="shared" si="2"/>
        <v>-52915000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555</v>
      </c>
      <c r="E47" s="11">
        <f t="shared" si="1"/>
        <v>0</v>
      </c>
      <c r="F47" s="11">
        <f t="shared" si="2"/>
        <v>-24975000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555</v>
      </c>
      <c r="E48" s="11">
        <f t="shared" si="1"/>
        <v>0</v>
      </c>
      <c r="F48" s="11">
        <f t="shared" si="2"/>
        <v>-35619900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552</v>
      </c>
      <c r="E49" s="11">
        <f t="shared" si="1"/>
        <v>0</v>
      </c>
      <c r="F49" s="11">
        <f t="shared" si="2"/>
        <v>-15171168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551</v>
      </c>
      <c r="E50" s="11">
        <f t="shared" si="1"/>
        <v>0</v>
      </c>
      <c r="F50" s="11">
        <f t="shared" si="2"/>
        <v>-77691000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551</v>
      </c>
      <c r="E51" s="11">
        <f t="shared" si="1"/>
        <v>0</v>
      </c>
      <c r="F51" s="11">
        <f t="shared" si="2"/>
        <v>-14737046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550</v>
      </c>
      <c r="E52" s="11">
        <f t="shared" si="1"/>
        <v>0</v>
      </c>
      <c r="F52" s="11">
        <f t="shared" si="2"/>
        <v>-29315000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549</v>
      </c>
      <c r="E53" s="11">
        <f t="shared" si="1"/>
        <v>1</v>
      </c>
      <c r="F53" s="11">
        <f t="shared" si="2"/>
        <v>548000000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543</v>
      </c>
      <c r="E54" s="11">
        <f t="shared" si="1"/>
        <v>0</v>
      </c>
      <c r="F54" s="11">
        <f t="shared" si="2"/>
        <v>-11403000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542</v>
      </c>
      <c r="E55" s="11">
        <f t="shared" si="1"/>
        <v>0</v>
      </c>
      <c r="F55" s="11">
        <f t="shared" si="2"/>
        <v>-531431000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542</v>
      </c>
      <c r="E56" s="11">
        <f t="shared" si="1"/>
        <v>0</v>
      </c>
      <c r="F56" s="11">
        <f t="shared" si="2"/>
        <v>-24390000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529</v>
      </c>
      <c r="E57" s="11">
        <f t="shared" si="1"/>
        <v>1</v>
      </c>
      <c r="F57" s="11">
        <f t="shared" si="2"/>
        <v>1586739792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529</v>
      </c>
      <c r="E58" s="11">
        <f t="shared" si="1"/>
        <v>1</v>
      </c>
      <c r="F58" s="11">
        <f t="shared" si="2"/>
        <v>1056000000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528</v>
      </c>
      <c r="E59" s="11">
        <f t="shared" si="1"/>
        <v>1</v>
      </c>
      <c r="F59" s="11">
        <f t="shared" si="2"/>
        <v>1054000000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528</v>
      </c>
      <c r="E60" s="11">
        <f t="shared" si="1"/>
        <v>0</v>
      </c>
      <c r="F60" s="11">
        <f t="shared" si="2"/>
        <v>-3696792000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504</v>
      </c>
      <c r="E61" s="11">
        <f t="shared" si="1"/>
        <v>1</v>
      </c>
      <c r="F61" s="11">
        <f t="shared" si="2"/>
        <v>1509000000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503</v>
      </c>
      <c r="E62" s="11">
        <f t="shared" si="1"/>
        <v>0</v>
      </c>
      <c r="F62" s="11">
        <f t="shared" si="2"/>
        <v>-13635827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503</v>
      </c>
      <c r="E63" s="11">
        <f t="shared" si="1"/>
        <v>0</v>
      </c>
      <c r="F63" s="11">
        <f t="shared" si="2"/>
        <v>-16593467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503</v>
      </c>
      <c r="E64" s="11">
        <f t="shared" si="1"/>
        <v>1</v>
      </c>
      <c r="F64" s="11">
        <f t="shared" si="2"/>
        <v>1506000000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503</v>
      </c>
      <c r="E65" s="11">
        <f t="shared" si="1"/>
        <v>1</v>
      </c>
      <c r="F65" s="11">
        <f t="shared" si="2"/>
        <v>1490940000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503</v>
      </c>
      <c r="E66" s="11">
        <f t="shared" si="1"/>
        <v>1</v>
      </c>
      <c r="F66" s="11">
        <f t="shared" si="2"/>
        <v>502000000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503</v>
      </c>
      <c r="E67" s="11">
        <f t="shared" ref="E67:E130" si="4">IF(B67&gt;0,1,0)</f>
        <v>1</v>
      </c>
      <c r="F67" s="11">
        <f t="shared" ref="F67:F200" si="5">B67*(D67-E67)</f>
        <v>15060000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502</v>
      </c>
      <c r="E68" s="11">
        <f t="shared" si="4"/>
        <v>1</v>
      </c>
      <c r="F68" s="11">
        <f t="shared" si="5"/>
        <v>15030000000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501</v>
      </c>
      <c r="E69" s="11">
        <f t="shared" si="4"/>
        <v>0</v>
      </c>
      <c r="F69" s="11">
        <f t="shared" si="5"/>
        <v>-100200000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501</v>
      </c>
      <c r="E70" s="11">
        <f t="shared" si="4"/>
        <v>1</v>
      </c>
      <c r="F70" s="11">
        <f t="shared" si="5"/>
        <v>700000000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501</v>
      </c>
      <c r="E71" s="11">
        <f t="shared" si="4"/>
        <v>1</v>
      </c>
      <c r="F71" s="11">
        <f t="shared" si="5"/>
        <v>1300000000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501</v>
      </c>
      <c r="E72" s="11">
        <f t="shared" si="4"/>
        <v>0</v>
      </c>
      <c r="F72" s="11">
        <f t="shared" si="5"/>
        <v>-501000000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499</v>
      </c>
      <c r="E73" s="11">
        <f t="shared" si="4"/>
        <v>1</v>
      </c>
      <c r="F73" s="11">
        <f t="shared" si="5"/>
        <v>7470000000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494</v>
      </c>
      <c r="E74" s="11">
        <f t="shared" si="4"/>
        <v>0</v>
      </c>
      <c r="F74" s="11">
        <f t="shared" si="5"/>
        <v>-7412074800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492</v>
      </c>
      <c r="E75" s="11">
        <f t="shared" si="4"/>
        <v>0</v>
      </c>
      <c r="F75" s="11">
        <f t="shared" si="5"/>
        <v>-1476000000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492</v>
      </c>
      <c r="E76" s="11">
        <f t="shared" si="4"/>
        <v>0</v>
      </c>
      <c r="F76" s="11">
        <f t="shared" si="5"/>
        <v>-98400000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492</v>
      </c>
      <c r="E77" s="11">
        <f t="shared" si="4"/>
        <v>0</v>
      </c>
      <c r="F77" s="11">
        <f t="shared" si="5"/>
        <v>-5905476000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488</v>
      </c>
      <c r="E78" s="11">
        <f t="shared" si="4"/>
        <v>0</v>
      </c>
      <c r="F78" s="11">
        <f t="shared" si="5"/>
        <v>-1464439200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483</v>
      </c>
      <c r="E79" s="11">
        <f t="shared" si="4"/>
        <v>1</v>
      </c>
      <c r="F79" s="11">
        <f t="shared" si="5"/>
        <v>11086000000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478</v>
      </c>
      <c r="E80" s="11">
        <f t="shared" si="4"/>
        <v>0</v>
      </c>
      <c r="F80" s="11">
        <f t="shared" si="5"/>
        <v>-287039000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478</v>
      </c>
      <c r="E81" s="11">
        <f t="shared" si="4"/>
        <v>0</v>
      </c>
      <c r="F81" s="11">
        <f t="shared" si="5"/>
        <v>-95600000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477</v>
      </c>
      <c r="E82" s="11">
        <f t="shared" si="4"/>
        <v>1</v>
      </c>
      <c r="F82" s="11">
        <f t="shared" si="5"/>
        <v>134813196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477</v>
      </c>
      <c r="E83" s="11">
        <f t="shared" si="4"/>
        <v>0</v>
      </c>
      <c r="F83" s="11">
        <f t="shared" si="5"/>
        <v>-95400000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475</v>
      </c>
      <c r="E84" s="11">
        <f t="shared" si="4"/>
        <v>1</v>
      </c>
      <c r="F84" s="11">
        <f t="shared" si="5"/>
        <v>948000000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472</v>
      </c>
      <c r="E85" s="11">
        <f t="shared" si="4"/>
        <v>0</v>
      </c>
      <c r="F85" s="11">
        <f t="shared" si="5"/>
        <v>-94400000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466</v>
      </c>
      <c r="E86" s="11">
        <f t="shared" si="4"/>
        <v>0</v>
      </c>
      <c r="F86" s="11">
        <f t="shared" si="5"/>
        <v>-93200000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464</v>
      </c>
      <c r="E87" s="11">
        <f t="shared" si="4"/>
        <v>0</v>
      </c>
      <c r="F87" s="11">
        <f t="shared" si="5"/>
        <v>-614800000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449</v>
      </c>
      <c r="E88" s="11">
        <f t="shared" si="4"/>
        <v>0</v>
      </c>
      <c r="F88" s="11">
        <f t="shared" si="5"/>
        <v>-224500000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449</v>
      </c>
      <c r="E89" s="11">
        <f t="shared" si="4"/>
        <v>0</v>
      </c>
      <c r="F89" s="11">
        <f t="shared" si="5"/>
        <v>-53880000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447</v>
      </c>
      <c r="E90" s="11">
        <f t="shared" si="4"/>
        <v>1</v>
      </c>
      <c r="F90" s="11">
        <f t="shared" si="5"/>
        <v>190979430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444</v>
      </c>
      <c r="E91" s="11">
        <f t="shared" si="4"/>
        <v>0</v>
      </c>
      <c r="F91" s="11">
        <f t="shared" si="5"/>
        <v>-1332888000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442</v>
      </c>
      <c r="E92" s="11">
        <f t="shared" si="4"/>
        <v>0</v>
      </c>
      <c r="F92" s="11">
        <f t="shared" si="5"/>
        <v>-90610000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442</v>
      </c>
      <c r="E93" s="11">
        <f t="shared" si="4"/>
        <v>0</v>
      </c>
      <c r="F93" s="11">
        <f t="shared" si="5"/>
        <v>-154921000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431</v>
      </c>
      <c r="E94" s="11">
        <f t="shared" si="4"/>
        <v>1</v>
      </c>
      <c r="F94" s="11">
        <f t="shared" si="5"/>
        <v>430000000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426</v>
      </c>
      <c r="E95" s="11">
        <f t="shared" si="4"/>
        <v>1</v>
      </c>
      <c r="F95" s="11">
        <f t="shared" si="5"/>
        <v>3825000000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424</v>
      </c>
      <c r="E96" s="11">
        <f t="shared" si="4"/>
        <v>0</v>
      </c>
      <c r="F96" s="11">
        <f t="shared" si="5"/>
        <v>-11024000000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424</v>
      </c>
      <c r="E97" s="11">
        <f t="shared" si="4"/>
        <v>0</v>
      </c>
      <c r="F97" s="11">
        <f t="shared" si="5"/>
        <v>-11024000000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424</v>
      </c>
      <c r="E98" s="11">
        <f t="shared" si="4"/>
        <v>1</v>
      </c>
      <c r="F98" s="11">
        <f t="shared" si="5"/>
        <v>10998000000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424</v>
      </c>
      <c r="E99" s="11">
        <f t="shared" si="4"/>
        <v>0</v>
      </c>
      <c r="F99" s="11">
        <f t="shared" si="5"/>
        <v>-84800000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422</v>
      </c>
      <c r="E100" s="11">
        <f t="shared" si="4"/>
        <v>1</v>
      </c>
      <c r="F100" s="11">
        <f t="shared" si="5"/>
        <v>12293200000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417</v>
      </c>
      <c r="E101" s="11">
        <f t="shared" si="4"/>
        <v>1</v>
      </c>
      <c r="F101" s="11">
        <f t="shared" si="5"/>
        <v>166377120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416</v>
      </c>
      <c r="E102" s="11">
        <f t="shared" si="4"/>
        <v>1</v>
      </c>
      <c r="F102" s="11">
        <f t="shared" si="5"/>
        <v>830000000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415</v>
      </c>
      <c r="E103" s="11">
        <f t="shared" si="4"/>
        <v>1</v>
      </c>
      <c r="F103" s="11">
        <f t="shared" si="5"/>
        <v>3105000000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415</v>
      </c>
      <c r="E104" s="11">
        <f t="shared" si="4"/>
        <v>0</v>
      </c>
      <c r="F104" s="11">
        <f t="shared" si="5"/>
        <v>-27390000000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415</v>
      </c>
      <c r="E105" s="11">
        <f t="shared" si="4"/>
        <v>0</v>
      </c>
      <c r="F105" s="11">
        <f t="shared" si="5"/>
        <v>-60175000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413</v>
      </c>
      <c r="E106" s="11">
        <f t="shared" si="4"/>
        <v>1</v>
      </c>
      <c r="F106" s="11">
        <f t="shared" si="5"/>
        <v>2472000000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411</v>
      </c>
      <c r="E107" s="11">
        <f t="shared" si="4"/>
        <v>0</v>
      </c>
      <c r="F107" s="11">
        <f t="shared" si="5"/>
        <v>-2468424900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408</v>
      </c>
      <c r="E108" s="11">
        <f t="shared" si="4"/>
        <v>1</v>
      </c>
      <c r="F108" s="11">
        <f t="shared" si="5"/>
        <v>2442000000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396</v>
      </c>
      <c r="E109" s="11">
        <f t="shared" si="4"/>
        <v>0</v>
      </c>
      <c r="F109" s="11">
        <f t="shared" si="5"/>
        <v>-47520000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395</v>
      </c>
      <c r="E110" s="11">
        <f t="shared" si="4"/>
        <v>1</v>
      </c>
      <c r="F110" s="11">
        <f t="shared" si="5"/>
        <v>1576000000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394</v>
      </c>
      <c r="E111" s="11">
        <f t="shared" si="4"/>
        <v>1</v>
      </c>
      <c r="F111" s="11">
        <f t="shared" si="5"/>
        <v>1100400000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390</v>
      </c>
      <c r="E112" s="11">
        <f t="shared" si="4"/>
        <v>0</v>
      </c>
      <c r="F112" s="11">
        <f t="shared" si="5"/>
        <v>-78000000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389</v>
      </c>
      <c r="E113" s="11">
        <f t="shared" si="4"/>
        <v>1</v>
      </c>
      <c r="F113" s="11">
        <f t="shared" si="5"/>
        <v>28056280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372</v>
      </c>
      <c r="E114" s="11">
        <f t="shared" si="4"/>
        <v>0</v>
      </c>
      <c r="F114" s="11">
        <f t="shared" si="5"/>
        <v>-74400000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371</v>
      </c>
      <c r="E115" s="11">
        <f t="shared" si="4"/>
        <v>0</v>
      </c>
      <c r="F115" s="23">
        <f t="shared" si="5"/>
        <v>-4081000000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371</v>
      </c>
      <c r="E116" s="11">
        <f t="shared" si="4"/>
        <v>0</v>
      </c>
      <c r="F116" s="11">
        <f t="shared" si="5"/>
        <v>-74200000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369</v>
      </c>
      <c r="E117" s="11">
        <f t="shared" si="4"/>
        <v>0</v>
      </c>
      <c r="F117" s="11">
        <f t="shared" si="5"/>
        <v>-166234500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369</v>
      </c>
      <c r="E118" s="11">
        <f t="shared" si="4"/>
        <v>0</v>
      </c>
      <c r="F118" s="11">
        <f t="shared" si="5"/>
        <v>-73800000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363</v>
      </c>
      <c r="E119" s="11">
        <f t="shared" si="4"/>
        <v>0</v>
      </c>
      <c r="F119" s="11">
        <f t="shared" si="5"/>
        <v>-56101650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363</v>
      </c>
      <c r="E120" s="11">
        <f t="shared" si="4"/>
        <v>0</v>
      </c>
      <c r="F120" s="11">
        <f t="shared" si="5"/>
        <v>-116160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362</v>
      </c>
      <c r="E121" s="11">
        <f t="shared" si="4"/>
        <v>0</v>
      </c>
      <c r="F121" s="11">
        <f t="shared" si="5"/>
        <v>-156384000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356</v>
      </c>
      <c r="E122" s="11">
        <f t="shared" si="4"/>
        <v>1</v>
      </c>
      <c r="F122" s="11">
        <f t="shared" si="5"/>
        <v>26285265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335</v>
      </c>
      <c r="E123" s="11">
        <f t="shared" si="4"/>
        <v>0</v>
      </c>
      <c r="F123" s="11">
        <f t="shared" si="5"/>
        <v>-17420000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294</v>
      </c>
      <c r="E124" s="11">
        <f t="shared" si="4"/>
        <v>1</v>
      </c>
      <c r="F124" s="11">
        <f t="shared" si="5"/>
        <v>347791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293</v>
      </c>
      <c r="E125" s="11">
        <f t="shared" si="4"/>
        <v>1</v>
      </c>
      <c r="F125" s="11">
        <f t="shared" si="5"/>
        <v>700800000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291</v>
      </c>
      <c r="E126" s="11">
        <f t="shared" si="4"/>
        <v>1</v>
      </c>
      <c r="F126" s="11">
        <f t="shared" si="5"/>
        <v>389412000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291</v>
      </c>
      <c r="E127" s="11">
        <f t="shared" si="4"/>
        <v>1</v>
      </c>
      <c r="F127" s="11">
        <f t="shared" si="5"/>
        <v>389412000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279</v>
      </c>
      <c r="E128" s="11">
        <f t="shared" si="4"/>
        <v>0</v>
      </c>
      <c r="F128" s="11">
        <f t="shared" si="5"/>
        <v>-55800000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277</v>
      </c>
      <c r="E129" s="11">
        <f t="shared" si="4"/>
        <v>0</v>
      </c>
      <c r="F129" s="11">
        <f>B129*(D129-E129)</f>
        <v>-4326186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276</v>
      </c>
      <c r="E130" s="11">
        <f t="shared" si="4"/>
        <v>0</v>
      </c>
      <c r="F130" s="11">
        <f t="shared" si="5"/>
        <v>-55200000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275</v>
      </c>
      <c r="E131" s="11">
        <f t="shared" ref="E131:E201" si="7">IF(B131&gt;0,1,0)</f>
        <v>0</v>
      </c>
      <c r="F131" s="11">
        <f t="shared" si="5"/>
        <v>-55000000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274</v>
      </c>
      <c r="E132" s="11">
        <f t="shared" si="7"/>
        <v>0</v>
      </c>
      <c r="F132" s="11">
        <f t="shared" si="5"/>
        <v>-106860000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274</v>
      </c>
      <c r="E133" s="11">
        <f t="shared" si="7"/>
        <v>0</v>
      </c>
      <c r="F133" s="11">
        <f t="shared" si="5"/>
        <v>-6713000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273</v>
      </c>
      <c r="E134" s="11">
        <f t="shared" si="7"/>
        <v>0</v>
      </c>
      <c r="F134" s="11">
        <f t="shared" si="5"/>
        <v>-25935000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269</v>
      </c>
      <c r="E135" s="11">
        <f t="shared" si="7"/>
        <v>0</v>
      </c>
      <c r="F135" s="11">
        <f t="shared" si="5"/>
        <v>-53800000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267</v>
      </c>
      <c r="E136" s="11">
        <f t="shared" si="7"/>
        <v>1</v>
      </c>
      <c r="F136" s="11">
        <f t="shared" si="5"/>
        <v>13300000000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266</v>
      </c>
      <c r="E137" s="11">
        <f t="shared" si="7"/>
        <v>1</v>
      </c>
      <c r="F137" s="11">
        <f t="shared" si="5"/>
        <v>3180000000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264</v>
      </c>
      <c r="E138" s="11">
        <f t="shared" si="7"/>
        <v>1</v>
      </c>
      <c r="F138" s="11">
        <f t="shared" si="5"/>
        <v>526000000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263</v>
      </c>
      <c r="E139" s="11">
        <f t="shared" si="7"/>
        <v>1</v>
      </c>
      <c r="F139" s="11">
        <f t="shared" si="5"/>
        <v>22934956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250</v>
      </c>
      <c r="E140" s="11">
        <f t="shared" si="7"/>
        <v>0</v>
      </c>
      <c r="F140" s="11">
        <f t="shared" si="5"/>
        <v>-750225000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249</v>
      </c>
      <c r="E141" s="11">
        <f t="shared" si="7"/>
        <v>0</v>
      </c>
      <c r="F141" s="11">
        <f t="shared" si="5"/>
        <v>-747224100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232</v>
      </c>
      <c r="E142" s="11">
        <f t="shared" si="7"/>
        <v>1</v>
      </c>
      <c r="F142" s="11">
        <f t="shared" si="5"/>
        <v>139067775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232</v>
      </c>
      <c r="E143" s="11">
        <f t="shared" si="7"/>
        <v>0</v>
      </c>
      <c r="F143" s="11">
        <f t="shared" si="5"/>
        <v>-10672000000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201</v>
      </c>
      <c r="E144" s="11">
        <f t="shared" si="7"/>
        <v>1</v>
      </c>
      <c r="F144" s="11">
        <f t="shared" si="5"/>
        <v>30821400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200</v>
      </c>
      <c r="E145" s="11">
        <f t="shared" si="7"/>
        <v>1</v>
      </c>
      <c r="F145" s="11">
        <f t="shared" si="5"/>
        <v>597000000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197</v>
      </c>
      <c r="E146" s="11">
        <f t="shared" si="7"/>
        <v>0</v>
      </c>
      <c r="F146" s="11">
        <f t="shared" si="5"/>
        <v>-39400000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192</v>
      </c>
      <c r="E147" s="11">
        <f t="shared" si="7"/>
        <v>0</v>
      </c>
      <c r="F147" s="11">
        <f t="shared" si="5"/>
        <v>-38400000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191</v>
      </c>
      <c r="E148" s="11">
        <f t="shared" si="7"/>
        <v>0</v>
      </c>
      <c r="F148" s="11">
        <f t="shared" si="5"/>
        <v>-38200000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187</v>
      </c>
      <c r="E149" s="11">
        <f t="shared" si="7"/>
        <v>0</v>
      </c>
      <c r="F149" s="11">
        <f t="shared" si="5"/>
        <v>-37400000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186</v>
      </c>
      <c r="E150" s="11">
        <f t="shared" si="7"/>
        <v>1</v>
      </c>
      <c r="F150" s="11">
        <f t="shared" si="5"/>
        <v>4453579000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184</v>
      </c>
      <c r="E151" s="11">
        <f t="shared" si="7"/>
        <v>0</v>
      </c>
      <c r="F151" s="11">
        <f t="shared" si="5"/>
        <v>-36800000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178</v>
      </c>
      <c r="E152" s="11">
        <f t="shared" si="7"/>
        <v>0</v>
      </c>
      <c r="F152" s="11">
        <f t="shared" si="5"/>
        <v>-5340000000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177</v>
      </c>
      <c r="E153" s="11">
        <f t="shared" si="7"/>
        <v>0</v>
      </c>
      <c r="F153" s="11">
        <f t="shared" si="5"/>
        <v>-9204000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177</v>
      </c>
      <c r="E154" s="11">
        <f t="shared" si="7"/>
        <v>0</v>
      </c>
      <c r="F154" s="11">
        <f t="shared" si="5"/>
        <v>-24072000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172</v>
      </c>
      <c r="E155" s="11">
        <f t="shared" si="7"/>
        <v>1</v>
      </c>
      <c r="F155" s="11">
        <f t="shared" si="5"/>
        <v>513000000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171</v>
      </c>
      <c r="E156" s="11">
        <f t="shared" si="7"/>
        <v>1</v>
      </c>
      <c r="F156" s="11">
        <f t="shared" si="5"/>
        <v>32147510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171</v>
      </c>
      <c r="E157" s="11">
        <f t="shared" si="7"/>
        <v>1</v>
      </c>
      <c r="F157" s="11">
        <f t="shared" si="5"/>
        <v>4118709000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163</v>
      </c>
      <c r="E158" s="11">
        <f t="shared" si="7"/>
        <v>1</v>
      </c>
      <c r="F158" s="11">
        <f t="shared" si="5"/>
        <v>3935822400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163</v>
      </c>
      <c r="E159" s="11">
        <f t="shared" si="7"/>
        <v>0</v>
      </c>
      <c r="F159" s="11">
        <f t="shared" si="5"/>
        <v>-32763000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158</v>
      </c>
      <c r="E160" s="11">
        <f t="shared" si="7"/>
        <v>0</v>
      </c>
      <c r="F160" s="11">
        <f t="shared" si="5"/>
        <v>-31600000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155</v>
      </c>
      <c r="E161" s="11">
        <f t="shared" si="7"/>
        <v>0</v>
      </c>
      <c r="F161" s="11">
        <f t="shared" si="5"/>
        <v>-31000000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151</v>
      </c>
      <c r="E162" s="11">
        <f t="shared" si="7"/>
        <v>0</v>
      </c>
      <c r="F162" s="11">
        <f t="shared" si="5"/>
        <v>-30200000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148</v>
      </c>
      <c r="E163" s="11">
        <f t="shared" si="7"/>
        <v>0</v>
      </c>
      <c r="F163" s="11">
        <f t="shared" si="5"/>
        <v>-29600000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141</v>
      </c>
      <c r="E164" s="11">
        <f t="shared" si="7"/>
        <v>1</v>
      </c>
      <c r="F164" s="11">
        <f t="shared" si="5"/>
        <v>64074360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138</v>
      </c>
      <c r="E165" s="11">
        <f t="shared" si="7"/>
        <v>1</v>
      </c>
      <c r="F165" s="11">
        <f t="shared" si="5"/>
        <v>369900000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138</v>
      </c>
      <c r="E166" s="11">
        <f t="shared" si="7"/>
        <v>1</v>
      </c>
      <c r="F166" s="11">
        <f t="shared" si="5"/>
        <v>342500000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131</v>
      </c>
      <c r="E167" s="11">
        <f t="shared" si="7"/>
        <v>0</v>
      </c>
      <c r="F167" s="11">
        <f t="shared" si="5"/>
        <v>-26200000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129</v>
      </c>
      <c r="E168" s="11">
        <f t="shared" si="7"/>
        <v>0</v>
      </c>
      <c r="F168" s="11">
        <f t="shared" si="5"/>
        <v>-25800000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123</v>
      </c>
      <c r="E169" s="11">
        <f t="shared" si="7"/>
        <v>0</v>
      </c>
      <c r="F169" s="11">
        <f t="shared" si="5"/>
        <v>-24600000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120</v>
      </c>
      <c r="E170" s="11">
        <f t="shared" si="7"/>
        <v>0</v>
      </c>
      <c r="F170" s="11">
        <f t="shared" si="5"/>
        <v>-24000000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120</v>
      </c>
      <c r="E171" s="11">
        <f t="shared" si="7"/>
        <v>1</v>
      </c>
      <c r="F171" s="11">
        <f t="shared" si="5"/>
        <v>357000000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117</v>
      </c>
      <c r="E172" s="11">
        <f t="shared" si="7"/>
        <v>0</v>
      </c>
      <c r="F172" s="11">
        <f t="shared" si="5"/>
        <v>-23400000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116</v>
      </c>
      <c r="E173" s="11">
        <f t="shared" si="7"/>
        <v>1</v>
      </c>
      <c r="F173" s="11">
        <f t="shared" si="5"/>
        <v>345000000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115</v>
      </c>
      <c r="E174" s="11">
        <f t="shared" si="7"/>
        <v>1</v>
      </c>
      <c r="F174" s="11">
        <f t="shared" si="5"/>
        <v>228000000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114</v>
      </c>
      <c r="E175" s="11">
        <f t="shared" si="7"/>
        <v>1</v>
      </c>
      <c r="F175" s="11">
        <f t="shared" si="5"/>
        <v>146900000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112</v>
      </c>
      <c r="E176" s="11">
        <f t="shared" si="7"/>
        <v>0</v>
      </c>
      <c r="F176" s="11">
        <f t="shared" si="5"/>
        <v>-22400000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112</v>
      </c>
      <c r="E177" s="11">
        <f t="shared" si="7"/>
        <v>1</v>
      </c>
      <c r="F177" s="11">
        <f t="shared" si="5"/>
        <v>188700000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111</v>
      </c>
      <c r="E178" s="11">
        <f t="shared" si="7"/>
        <v>0</v>
      </c>
      <c r="F178" s="11">
        <f t="shared" si="5"/>
        <v>-22200000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110</v>
      </c>
      <c r="E179" s="11">
        <f t="shared" si="7"/>
        <v>1</v>
      </c>
      <c r="F179" s="11">
        <f t="shared" si="5"/>
        <v>62292628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107</v>
      </c>
      <c r="E180" s="11">
        <f t="shared" si="7"/>
        <v>1</v>
      </c>
      <c r="F180" s="11">
        <f t="shared" si="5"/>
        <v>318000000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100</v>
      </c>
      <c r="E181" s="11">
        <f t="shared" si="7"/>
        <v>1</v>
      </c>
      <c r="F181" s="11">
        <f t="shared" si="5"/>
        <v>198000000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92</v>
      </c>
      <c r="E182" s="11">
        <f t="shared" si="7"/>
        <v>0</v>
      </c>
      <c r="F182" s="11">
        <f t="shared" si="5"/>
        <v>-202464400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80</v>
      </c>
      <c r="E183" s="11">
        <f t="shared" si="7"/>
        <v>1</v>
      </c>
      <c r="F183" s="11">
        <f t="shared" si="5"/>
        <v>53331873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50</v>
      </c>
      <c r="E184" s="11">
        <f t="shared" si="7"/>
        <v>1</v>
      </c>
      <c r="F184" s="11">
        <f t="shared" si="5"/>
        <v>33173000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35</v>
      </c>
      <c r="E185" s="11">
        <f t="shared" si="7"/>
        <v>0</v>
      </c>
      <c r="F185" s="11">
        <f t="shared" si="5"/>
        <v>-350000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01" si="8">D187+C186</f>
        <v>30</v>
      </c>
      <c r="E186" s="11">
        <f t="shared" si="7"/>
        <v>0</v>
      </c>
      <c r="F186" s="11">
        <f t="shared" si="5"/>
        <v>-2415000000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25</v>
      </c>
      <c r="E187" s="11">
        <f t="shared" si="7"/>
        <v>0</v>
      </c>
      <c r="F187" s="11">
        <f t="shared" si="5"/>
        <v>-27500000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25</v>
      </c>
      <c r="E188" s="11">
        <f t="shared" si="7"/>
        <v>1</v>
      </c>
      <c r="F188" s="11">
        <f t="shared" si="5"/>
        <v>72000000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24</v>
      </c>
      <c r="E189" s="11">
        <f t="shared" si="7"/>
        <v>1</v>
      </c>
      <c r="F189" s="11">
        <f t="shared" si="5"/>
        <v>46000000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24</v>
      </c>
      <c r="E190" s="11">
        <f t="shared" si="7"/>
        <v>0</v>
      </c>
      <c r="F190" s="11">
        <f t="shared" si="5"/>
        <v>-120000000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23</v>
      </c>
      <c r="E191" s="11">
        <f t="shared" si="7"/>
        <v>1</v>
      </c>
      <c r="F191" s="11">
        <f t="shared" si="5"/>
        <v>10631456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19</v>
      </c>
      <c r="E192" s="11">
        <f t="shared" si="7"/>
        <v>0</v>
      </c>
      <c r="F192" s="11">
        <f t="shared" si="5"/>
        <v>-2190700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15</v>
      </c>
      <c r="E193" s="11">
        <f t="shared" si="7"/>
        <v>1</v>
      </c>
      <c r="F193" s="11">
        <f t="shared" si="5"/>
        <v>1260000000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8</v>
      </c>
      <c r="E194" s="11">
        <f t="shared" si="7"/>
        <v>1</v>
      </c>
      <c r="F194" s="11">
        <f t="shared" si="5"/>
        <v>364000000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8</v>
      </c>
      <c r="E195" s="11">
        <f t="shared" si="7"/>
        <v>1</v>
      </c>
      <c r="F195" s="11">
        <f t="shared" si="5"/>
        <v>175000000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1">
        <f t="shared" si="8"/>
        <v>8</v>
      </c>
      <c r="E196" s="11">
        <f t="shared" si="7"/>
        <v>0</v>
      </c>
      <c r="F196" s="11">
        <f t="shared" si="5"/>
        <v>-1344000000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1</v>
      </c>
      <c r="D197" s="11">
        <f t="shared" si="8"/>
        <v>1</v>
      </c>
      <c r="E197" s="11">
        <f t="shared" si="7"/>
        <v>0</v>
      </c>
      <c r="F197" s="11">
        <f t="shared" si="5"/>
        <v>-165500</v>
      </c>
      <c r="G197" s="11" t="s">
        <v>1191</v>
      </c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818847</v>
      </c>
      <c r="C202" s="11"/>
      <c r="D202" s="11"/>
      <c r="E202" s="11"/>
      <c r="F202" s="29">
        <f>SUM(F2:F200)</f>
        <v>18753477329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27578643.130882353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B1"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90910702.097694531</v>
      </c>
      <c r="G15" s="29">
        <f t="shared" si="0"/>
        <v>3642297.9023054689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818847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115000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28870570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-21754246.71682997</v>
      </c>
      <c r="M26" s="2" t="s">
        <v>1147</v>
      </c>
      <c r="N26" s="3">
        <f>-L26</f>
        <v>21754246.71682997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-6794479.185475504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25</v>
      </c>
      <c r="L28" s="123"/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90910702.097694531</v>
      </c>
      <c r="M29" s="2"/>
      <c r="N29" s="3">
        <f>SUM(N16:N26)</f>
        <v>154206347.71682996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1033858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147910702.09769452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23">
        <v>1100000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23">
        <v>5000000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23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23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5500000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23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23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23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128670000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2018-04-13T19:00:31Z</dcterms:modified>
</cp:coreProperties>
</file>