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60" i="52" l="1"/>
  <c r="O160" i="52"/>
  <c r="J160" i="52"/>
  <c r="N160" i="52"/>
  <c r="AB79" i="52"/>
  <c r="AB82" i="52" s="1"/>
  <c r="AC79" i="52" l="1"/>
  <c r="L45" i="18"/>
  <c r="K62" i="18"/>
  <c r="K63" i="18" s="1"/>
  <c r="J63" i="18"/>
  <c r="L42" i="18"/>
  <c r="P151" i="18"/>
  <c r="W252" i="18"/>
  <c r="AB78" i="52"/>
  <c r="AC78" i="52" s="1"/>
  <c r="W251" i="18" l="1"/>
  <c r="AF76" i="52" l="1"/>
  <c r="AB77" i="52"/>
  <c r="AC77" i="52" s="1"/>
  <c r="AB76" i="52"/>
  <c r="AC76" i="52" s="1"/>
  <c r="N159" i="52" l="1"/>
  <c r="W250" i="18"/>
  <c r="O159" i="52" l="1"/>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W249" i="18" l="1"/>
  <c r="K106" i="18"/>
  <c r="W248" i="18"/>
  <c r="O150" i="52"/>
  <c r="D77" i="52" l="1"/>
  <c r="AD59" i="52" l="1"/>
  <c r="Q146" i="52"/>
  <c r="J146" i="52"/>
  <c r="W247" i="18"/>
  <c r="P23" i="18"/>
  <c r="N23" i="18" s="1"/>
  <c r="P27" i="18"/>
  <c r="N27" i="18" s="1"/>
  <c r="N44" i="18"/>
  <c r="O146" i="52"/>
  <c r="N205" i="52"/>
  <c r="N204" i="52"/>
  <c r="P204" i="52" s="1"/>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30" i="18" l="1"/>
  <c r="J130" i="18" s="1"/>
  <c r="J132" i="18" s="1"/>
  <c r="I132" i="18" s="1"/>
  <c r="G124" i="18"/>
  <c r="J124" i="18" s="1"/>
  <c r="W245" i="18"/>
  <c r="J126" i="18" l="1"/>
  <c r="I126" i="18" s="1"/>
  <c r="O142" i="52"/>
  <c r="J142" i="52"/>
  <c r="N42" i="18"/>
  <c r="W244" i="18"/>
  <c r="P22" i="18"/>
  <c r="P26" i="18" l="1"/>
  <c r="N26"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4"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101"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N206" i="52"/>
  <c r="P206"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6" i="18"/>
  <c r="J116" i="18" s="1"/>
  <c r="J120"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6"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2" i="18"/>
  <c r="O131" i="18"/>
  <c r="O130" i="18"/>
  <c r="AM261" i="18" l="1"/>
  <c r="AL260" i="18"/>
  <c r="D289" i="15"/>
  <c r="F290" i="15"/>
  <c r="P97" i="52"/>
  <c r="P98" i="52"/>
  <c r="P95" i="52"/>
  <c r="P96" i="52"/>
  <c r="P94" i="52"/>
  <c r="P93" i="52"/>
  <c r="O134" i="18"/>
  <c r="N91" i="52"/>
  <c r="P92" i="52" s="1"/>
  <c r="AL259" i="18" l="1"/>
  <c r="AM260" i="18"/>
  <c r="F289" i="15"/>
  <c r="D288" i="15"/>
  <c r="R231" i="18"/>
  <c r="T270" i="18" s="1"/>
  <c r="W222" i="18"/>
  <c r="W221" i="18"/>
  <c r="W220" i="18"/>
  <c r="M48" i="52"/>
  <c r="M47" i="52"/>
  <c r="N38" i="52"/>
  <c r="N37" i="52"/>
  <c r="M49" i="52"/>
  <c r="N50" i="52" s="1"/>
  <c r="AM259" i="18" l="1"/>
  <c r="AL258" i="18"/>
  <c r="D287" i="15"/>
  <c r="F288" i="15"/>
  <c r="N49" i="52"/>
  <c r="W219" i="18"/>
  <c r="AM258" i="18" l="1"/>
  <c r="AL257" i="18"/>
  <c r="F287" i="15"/>
  <c r="D286" i="15"/>
  <c r="I120"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3"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7" i="18"/>
  <c r="L104" i="18" s="1"/>
  <c r="N104" i="18" s="1"/>
  <c r="L103" i="18" l="1"/>
  <c r="M107" i="18"/>
  <c r="AM248" i="18"/>
  <c r="AL247" i="18"/>
  <c r="L99" i="18"/>
  <c r="W193" i="18"/>
  <c r="W192" i="18"/>
  <c r="N24" i="52"/>
  <c r="N26" i="52"/>
  <c r="N25" i="52"/>
  <c r="AL246" i="18" l="1"/>
  <c r="AM247"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AL186" i="18"/>
  <c r="D307" i="20"/>
  <c r="AM186" i="18" l="1"/>
  <c r="AL178" i="18"/>
  <c r="I364" i="20"/>
  <c r="J364" i="20"/>
  <c r="K364" i="20"/>
  <c r="G363" i="20"/>
  <c r="AL240" i="18"/>
  <c r="AM241" i="18"/>
  <c r="AD23" i="52"/>
  <c r="Z23" i="52"/>
  <c r="AE23" i="52"/>
  <c r="Z22" i="52"/>
  <c r="AD22" i="52"/>
  <c r="AE22" i="52"/>
  <c r="AL177" i="18" l="1"/>
  <c r="AM178" i="18"/>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2" i="18"/>
  <c r="F102" i="18" s="1"/>
  <c r="G99" i="18"/>
  <c r="F99"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6" i="18"/>
  <c r="AM120" i="18" l="1"/>
  <c r="AL119" i="18"/>
  <c r="AM119" i="18" l="1"/>
  <c r="AL118" i="18"/>
  <c r="T146" i="18"/>
  <c r="S61" i="18"/>
  <c r="S62" i="18" s="1"/>
  <c r="S63" i="18" s="1"/>
  <c r="R167" i="18"/>
  <c r="R165" i="18"/>
  <c r="D57" i="51"/>
  <c r="AL117" i="18" l="1"/>
  <c r="AM118" i="18"/>
  <c r="S64" i="18"/>
  <c r="S65" i="18" s="1"/>
  <c r="AM117" i="18" l="1"/>
  <c r="AL116" i="18"/>
  <c r="S66" i="18"/>
  <c r="S67" i="18" s="1"/>
  <c r="N28"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3" i="18"/>
  <c r="M102" i="18" s="1"/>
  <c r="S71" i="18" l="1"/>
  <c r="S72" i="18" s="1"/>
  <c r="N102" i="18"/>
  <c r="AM112" i="18"/>
  <c r="AL111" i="18"/>
  <c r="D108" i="50"/>
  <c r="S73" i="18" l="1"/>
  <c r="AL110" i="18"/>
  <c r="AM111" i="18"/>
  <c r="S74" i="18" l="1"/>
  <c r="S75" i="18" s="1"/>
  <c r="S76" i="18" s="1"/>
  <c r="S77" i="18" s="1"/>
  <c r="S78" i="18" s="1"/>
  <c r="S79" i="18" s="1"/>
  <c r="S80"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7" i="18"/>
  <c r="AM228" i="18"/>
  <c r="AL103" i="18" l="1"/>
  <c r="AM104" i="18"/>
  <c r="AL226" i="18"/>
  <c r="AM227" i="18"/>
  <c r="AL102" i="18" l="1"/>
  <c r="AM103" i="18"/>
  <c r="AL225" i="18"/>
  <c r="AM226" i="18"/>
  <c r="S22" i="18"/>
  <c r="S23" i="18" s="1"/>
  <c r="N71"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0"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AL91" i="18"/>
  <c r="AM92" i="18"/>
  <c r="AM215" i="18"/>
  <c r="AL214" i="18"/>
  <c r="S49" i="18" l="1"/>
  <c r="S50" i="18" s="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5" i="18"/>
  <c r="R162" i="18" s="1"/>
  <c r="Q138" i="18" l="1"/>
  <c r="R175" i="18"/>
  <c r="M99" i="18"/>
  <c r="N99" i="18" s="1"/>
  <c r="N107" i="18" s="1"/>
  <c r="AJ193" i="18"/>
  <c r="AJ194" i="18" s="1"/>
  <c r="S109" i="18"/>
  <c r="G305" i="20"/>
  <c r="I306" i="20"/>
  <c r="K306" i="20"/>
  <c r="J306" i="20"/>
  <c r="AL74" i="18"/>
  <c r="AM75" i="18"/>
  <c r="U270" i="18" l="1"/>
  <c r="T257" i="18"/>
  <c r="V260" i="18" s="1"/>
  <c r="G304" i="20"/>
  <c r="I305" i="20"/>
  <c r="K305" i="20"/>
  <c r="J305" i="20"/>
  <c r="AL73" i="18"/>
  <c r="AM74" i="18"/>
  <c r="R86" i="18"/>
  <c r="V54" i="18" l="1"/>
  <c r="W54" i="18"/>
  <c r="X54" i="18"/>
  <c r="V53" i="18"/>
  <c r="W53" i="18" s="1"/>
  <c r="V80" i="18"/>
  <c r="V79" i="18"/>
  <c r="X79" i="18" s="1"/>
  <c r="V52" i="18"/>
  <c r="V78" i="18"/>
  <c r="W78" i="18" s="1"/>
  <c r="V51" i="18"/>
  <c r="V50" i="18"/>
  <c r="X50" i="18" s="1"/>
  <c r="V77" i="18"/>
  <c r="V49" i="18"/>
  <c r="W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0"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X53" i="18" l="1"/>
  <c r="W80" i="18"/>
  <c r="X80" i="18"/>
  <c r="W79" i="18"/>
  <c r="X52" i="18"/>
  <c r="W52" i="18"/>
  <c r="X78" i="18"/>
  <c r="X51" i="18"/>
  <c r="W51" i="18"/>
  <c r="W50" i="18"/>
  <c r="W77" i="18"/>
  <c r="X77" i="18"/>
  <c r="X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31" i="18"/>
  <c r="L21" i="18" s="1"/>
  <c r="U149" i="18"/>
  <c r="V149"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S131"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30" i="18" l="1"/>
  <c r="W130" i="18" s="1"/>
  <c r="J242" i="20"/>
  <c r="K242" i="20"/>
  <c r="G241" i="20"/>
  <c r="I242" i="20"/>
  <c r="F237" i="15"/>
  <c r="D236" i="15"/>
  <c r="E164" i="13"/>
  <c r="G165" i="13"/>
  <c r="D159" i="20"/>
  <c r="X130"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2" i="18" l="1"/>
  <c r="G235" i="20"/>
  <c r="J236" i="20"/>
  <c r="I236" i="20"/>
  <c r="K236" i="20"/>
  <c r="F231" i="15"/>
  <c r="D230" i="15"/>
  <c r="E158" i="13"/>
  <c r="G159" i="13"/>
  <c r="D154" i="20"/>
  <c r="D153" i="20"/>
  <c r="V131" i="18" l="1"/>
  <c r="X13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1" i="18" l="1"/>
  <c r="I234" i="20"/>
  <c r="K234" i="20"/>
  <c r="J234" i="20"/>
  <c r="G233" i="20"/>
  <c r="F229" i="15"/>
  <c r="D228" i="15"/>
  <c r="E156" i="13"/>
  <c r="G157" i="13"/>
  <c r="V132" i="18" l="1"/>
  <c r="X132" i="18" s="1"/>
  <c r="S13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3" i="18" l="1"/>
  <c r="W133" i="18" s="1"/>
  <c r="S134" i="18"/>
  <c r="W132" i="18"/>
  <c r="G231" i="20"/>
  <c r="I232" i="20"/>
  <c r="J232" i="20"/>
  <c r="K232" i="20"/>
  <c r="F227" i="15"/>
  <c r="D226" i="15"/>
  <c r="E154" i="13"/>
  <c r="G155" i="13"/>
  <c r="I46" i="32"/>
  <c r="V134" i="18" l="1"/>
  <c r="W134" i="18" s="1"/>
  <c r="S135" i="18"/>
  <c r="X133" i="18"/>
  <c r="X13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5" i="18" l="1"/>
  <c r="S136" i="18"/>
  <c r="V136" i="18" s="1"/>
  <c r="W135" i="18"/>
  <c r="X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W136" i="18" l="1"/>
  <c r="X136" i="18"/>
  <c r="G228" i="20"/>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<sst xmlns="http://schemas.openxmlformats.org/spreadsheetml/2006/main" count="12132" uniqueCount="5171">
  <si>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</si>
  <si>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</si>
  <si>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</si>
  <si>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</si>
  <si>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</si>
  <si>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</si>
  <si>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</si>
  <si>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</si>
  <si>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</si>
  <si>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</si>
  <si>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</si>
  <si>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</si>
  <si>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</si>
  <si>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</si>
  <si>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</si>
  <si>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</si>
  <si>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</si>
  <si>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</si>
  <si>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</si>
  <si>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</si>
  <si>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</si>
  <si>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</si>
  <si>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</si>
  <si>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</si>
  <si>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</si>
  <si>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</si>
  <si>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</si>
  <si>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</si>
  <si>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</si>
  <si>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</si>
  <si>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</si>
  <si>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</si>
  <si>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</si>
  <si>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</si>
  <si>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</si>
  <si>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</si>
  <si>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</si>
  <si>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</si>
  <si>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</si>
  <si>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</si>
  <si>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</si>
  <si>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</si>
  <si>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</si>
  <si>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</si>
  <si>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</si>
  <si>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</si>
  <si>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</si>
  <si>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</si>
  <si>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</si>
  <si>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</si>
  <si>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</si>
  <si>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</si>
  <si>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</si>
  <si>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</si>
  <si>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</si>
  <si>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</si>
  <si>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</si>
  <si>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</si>
  <si>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</si>
  <si>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</si>
  <si>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</si>
  <si>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</si>
  <si>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</si>
  <si>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</si>
  <si>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</si>
  <si>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</si>
  <si>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</si>
  <si>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</si>
  <si>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</si>
  <si>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</si>
  <si>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</si>
  <si>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</si>
  <si>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</si>
  <si>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</si>
  <si>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</si>
  <si>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</si>
  <si>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</si>
  <si>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</si>
  <si>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</si>
  <si>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</si>
  <si>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</si>
  <si>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</si>
  <si>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</si>
  <si>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</si>
  <si>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</si>
  <si>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</si>
  <si>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</si>
  <si>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</si>
  <si>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</si>
  <si>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</si>
  <si>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</si>
  <si>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</si>
  <si>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</si>
  <si>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</si>
  <si>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</si>
  <si>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</si>
  <si>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</si>
  <si>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</si>
  <si>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</si>
  <si>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</si>
  <si>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</si>
  <si>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</si>
  <si>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</si>
  <si>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</si>
  <si>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</si>
  <si>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</si>
  <si>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</si>
  <si>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</si>
  <si>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</si>
  <si>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</si>
  <si>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</si>
  <si>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</si>
  <si>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</si>
  <si>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</si>
  <si>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</si>
  <si>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</si>
  <si>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</si>
  <si>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</si>
  <si>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</si>
  <si>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</si>
  <si>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</si>
  <si>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</si>
  <si>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</si>
  <si>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</si>
  <si>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</si>
  <si>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</si>
  <si>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</si>
  <si>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</si>
  <si>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</si>
  <si>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</si>
  <si>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</si>
  <si>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</si>
  <si>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</si>
  <si>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</si>
  <si>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</si>
  <si>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</si>
  <si>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</si>
  <si>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</si>
  <si>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</si>
  <si>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</si>
  <si>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</si>
  <si>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</si>
  <si>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</si>
  <si>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</si>
  <si>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</si>
  <si>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</si>
  <si>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</si>
  <si>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</si>
  <si>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</si>
  <si>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</si>
  <si>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</si>
  <si>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</si>
  <si>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</si>
  <si>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</si>
  <si>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</si>
  <si>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</si>
  <si>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</si>
  <si>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</si>
  <si>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</si>
  <si>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</si>
  <si>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</si>
  <si>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</si>
  <si>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</si>
  <si>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</si>
  <si>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</si>
  <si>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</si>
  <si>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</si>
  <si>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</si>
  <si>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</si>
  <si>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</si>
  <si>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</si>
  <si>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</si>
  <si>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</si>
  <si>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</si>
  <si>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</si>
  <si>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</si>
  <si>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</si>
  <si>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</si>
  <si>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</si>
  <si>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</si>
  <si>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</si>
  <si>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</si>
  <si>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</si>
  <si>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</si>
  <si>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</si>
  <si>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</si>
  <si>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</si>
  <si>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</si>
  <si>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</si>
  <si>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</si>
  <si>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</si>
  <si>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</si>
  <si>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</si>
  <si>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</si>
  <si>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</si>
  <si>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</si>
  <si>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</si>
  <si>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</si>
  <si>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</si>
  <si>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</si>
  <si>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</si>
  <si>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</si>
  <si>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</si>
  <si>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</si>
  <si>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</si>
  <si>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</si>
  <si>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</si>
  <si>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</si>
  <si>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</si>
  <si>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</si>
  <si>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</si>
  <si>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</si>
  <si>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</si>
  <si>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</si>
  <si>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</si>
  <si>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</si>
  <si>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</si>
  <si>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</si>
  <si>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</si>
  <si>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</si>
  <si>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</si>
  <si>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</si>
  <si>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</si>
  <si>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</si>
  <si>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</si>
  <si>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</si>
  <si>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</si>
  <si>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</si>
  <si>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</si>
  <si>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</si>
  <si>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</si>
  <si>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</si>
  <si>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</si>
  <si>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</si>
  <si>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</si>
  <si>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</si>
  <si>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</si>
  <si>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</si>
  <si>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</si>
  <si>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</si>
  <si>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</si>
  <si>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</si>
  <si>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</si>
  <si>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</si>
  <si>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</si>
  <si>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</si>
  <si>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</si>
  <si>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</si>
  <si>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</si>
  <si>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</si>
  <si>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</si>
  <si>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</si>
  <si>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</si>
  <si>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</si>
  <si>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</si>
  <si>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</si>
  <si>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</si>
  <si>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</si>
  <si>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</si>
  <si>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</si>
  <si>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</si>
  <si>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</si>
  <si>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</si>
  <si>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</si>
  <si>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</si>
  <si>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</si>
  <si>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</si>
  <si>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</si>
  <si>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</si>
  <si>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</si>
  <si>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</si>
  <si>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</si>
  <si>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</si>
  <si>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</si>
  <si>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</si>
  <si>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</si>
  <si>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</si>
  <si>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</si>
  <si>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</si>
  <si>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</si>
  <si>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</si>
  <si>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</si>
  <si>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</si>
  <si>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</si>
  <si>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</si>
  <si>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</si>
  <si>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</si>
  <si>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</si>
  <si>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</si>
  <si>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</si>
  <si>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</si>
  <si>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</si>
  <si>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</si>
  <si>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</si>
  <si>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</si>
  <si>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</si>
  <si>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</si>
  <si>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</si>
  <si>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</si>
  <si>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</si>
  <si>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</si>
  <si>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</si>
  <si>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</si>
  <si>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</si>
  <si>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</si>
  <si>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</si>
  <si>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</si>
  <si>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</si>
  <si>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</si>
  <si>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</si>
  <si>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</si>
  <si>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</si>
  <si>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</si>
  <si>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</si>
  <si>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</si>
  <si>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</si>
  <si>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</si>
  <si>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</si>
  <si>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</si>
  <si>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</si>
  <si>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</si>
  <si>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</si>
  <si>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</si>
  <si>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</si>
  <si>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</si>
  <si>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</si>
  <si>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</si>
  <si>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</si>
  <si>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</si>
  <si>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</si>
  <si>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</si>
  <si>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</si>
  <si>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</si>
  <si>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</si>
  <si>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</si>
  <si>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</si>
  <si>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</si>
  <si>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</si>
  <si>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</si>
  <si>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</si>
  <si>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</si>
  <si>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</si>
  <si>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</si>
  <si>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</si>
  <si>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</si>
  <si>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</si>
  <si>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</si>
  <si>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</si>
  <si>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</si>
  <si>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</si>
  <si>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</si>
  <si>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</si>
  <si>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</si>
  <si>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</si>
  <si>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</si>
  <si>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</si>
  <si>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</si>
  <si>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</si>
  <si>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</si>
  <si>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</si>
  <si>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</si>
  <si>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</si>
  <si>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</si>
  <si>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</si>
  <si>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</si>
  <si>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</si>
  <si>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</si>
  <si>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</si>
  <si>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</si>
  <si>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</si>
  <si>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</si>
  <si>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</si>
  <si>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</si>
  <si>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</si>
  <si>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</si>
  <si>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</si>
  <si>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</si>
  <si>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</si>
  <si>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</si>
  <si>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</si>
  <si>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</si>
  <si>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</si>
  <si>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</si>
  <si>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</si>
  <si>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</si>
  <si>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</si>
  <si>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</si>
  <si>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</si>
  <si>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</si>
  <si>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</si>
  <si>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</si>
  <si>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</si>
  <si>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</si>
  <si>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</si>
  <si>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</si>
  <si>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</si>
  <si>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</si>
  <si>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</si>
  <si>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</si>
  <si>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</si>
  <si>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</si>
  <si>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</si>
  <si>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</si>
  <si>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</si>
  <si>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</si>
  <si>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</si>
  <si>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</si>
  <si>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</si>
  <si>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</si>
  <si>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</si>
  <si>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</si>
  <si>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</si>
  <si>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</si>
  <si>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</si>
  <si>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</si>
  <si>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</si>
  <si>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</si>
  <si>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</si>
  <si>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</si>
  <si>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</si>
  <si>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</si>
  <si>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</si>
  <si>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</si>
  <si>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</si>
  <si>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</si>
  <si>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</si>
  <si>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</si>
  <si>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</si>
  <si>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</si>
  <si>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</si>
  <si>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</si>
  <si>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</si>
  <si>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</si>
  <si>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</si>
  <si>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</si>
  <si>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</si>
  <si>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</si>
  <si>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</si>
  <si>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</si>
  <si>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</si>
  <si>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</si>
  <si>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</si>
  <si>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</si>
  <si>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</si>
  <si>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</si>
  <si>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</si>
  <si>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</si>
  <si>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</si>
  <si>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</si>
  <si>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</si>
  <si>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</si>
  <si>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</si>
  <si>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</si>
  <si>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</si>
  <si>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</si>
  <si>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</si>
  <si>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</si>
  <si>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</si>
  <si>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</si>
  <si>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</si>
  <si>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</si>
  <si>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</si>
  <si>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</si>
  <si>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</si>
  <si>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</si>
  <si>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</si>
  <si>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</si>
  <si>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</si>
  <si>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</si>
  <si>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</si>
  <si>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</si>
  <si>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</si>
  <si>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</si>
  <si>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</si>
  <si>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</si>
  <si>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</si>
  <si>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</si>
  <si>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</si>
  <si>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</si>
  <si>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</si>
  <si>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</si>
  <si>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</si>
  <si>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</si>
  <si>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</si>
  <si>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</si>
  <si>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</si>
  <si>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</si>
  <si>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</si>
  <si>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</si>
  <si>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</si>
  <si>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</si>
  <si>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</si>
  <si>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</si>
  <si>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</si>
  <si>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</si>
  <si>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</si>
  <si>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</si>
  <si>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</si>
  <si>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</si>
  <si>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</si>
  <si>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</si>
  <si>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</si>
  <si>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</si>
  <si>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</si>
  <si>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</si>
  <si>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</si>
  <si>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</si>
  <si>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</si>
  <si>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</si>
  <si>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</si>
  <si>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</si>
  <si>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</si>
  <si>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</si>
  <si>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</si>
  <si>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</si>
  <si>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</si>
  <si>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</si>
  <si>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</si>
  <si>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</si>
  <si>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</si>
  <si>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</si>
  <si>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</si>
  <si>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</si>
  <si>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</si>
  <si>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</si>
  <si>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</si>
  <si>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</si>
  <si>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</si>
  <si>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</si>
  <si>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</si>
  <si>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</si>
  <si>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</si>
  <si>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</si>
  <si>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</si>
  <si>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</si>
  <si>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</si>
  <si>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</si>
  <si>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</si>
  <si>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</si>
  <si>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</si>
  <si>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</si>
  <si>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</si>
  <si>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</si>
  <si>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</si>
  <si>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</si>
  <si>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</si>
  <si>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</si>
  <si>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</si>
  <si>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</si>
  <si>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</si>
  <si>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</si>
  <si>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</si>
  <si>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</si>
  <si>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</si>
  <si>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</si>
  <si>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</si>
  <si>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</si>
  <si>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</si>
  <si>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</si>
  <si>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</si>
  <si>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</si>
  <si>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</si>
  <si>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</si>
  <si>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</si>
  <si>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</si>
  <si>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</si>
  <si>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</si>
  <si>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</si>
  <si>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</si>
  <si>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</si>
  <si>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</si>
  <si>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</si>
  <si>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</si>
  <si>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</si>
  <si>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</si>
  <si>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</si>
  <si>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</si>
  <si>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</si>
  <si>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</si>
  <si>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</si>
  <si>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</si>
  <si>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</si>
  <si>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</si>
  <si>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</si>
  <si>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</si>
  <si>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</si>
  <si>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</si>
  <si>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</si>
  <si>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</si>
  <si>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</si>
  <si>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</si>
  <si>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</si>
  <si>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</si>
  <si>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</si>
  <si>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</si>
  <si>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</si>
  <si>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</si>
  <si>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</si>
  <si>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</si>
  <si>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</si>
  <si>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</si>
  <si>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</si>
  <si>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</si>
  <si>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</si>
  <si>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</si>
  <si>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</si>
  <si>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</si>
  <si>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</si>
  <si>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</si>
  <si>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</si>
  <si>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</si>
  <si>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</si>
  <si>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</si>
  <si>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</si>
  <si>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</si>
  <si>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</si>
  <si>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</si>
  <si>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</si>
  <si>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</si>
  <si>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</si>
  <si>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</si>
  <si>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</si>
  <si>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</si>
  <si>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</si>
  <si>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</si>
  <si>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</si>
  <si>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</si>
  <si>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</si>
  <si>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</si>
  <si>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</si>
  <si>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</si>
  <si>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</si>
  <si>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</si>
  <si>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</si>
  <si>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</si>
  <si>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</si>
  <si>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</si>
  <si>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</si>
  <si>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</si>
  <si>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</si>
  <si>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</si>
  <si>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</si>
  <si>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</si>
  <si>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</si>
  <si>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</si>
  <si>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</si>
  <si>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</si>
  <si>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</si>
  <si>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</si>
  <si>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</si>
  <si>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</si>
  <si>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</si>
  <si>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</si>
  <si>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</si>
  <si>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</si>
  <si>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</si>
  <si>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</si>
  <si>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</si>
  <si>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</si>
  <si>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</si>
  <si>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</si>
  <si>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</si>
  <si>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</si>
  <si>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</si>
  <si>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</si>
  <si>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</si>
  <si>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</si>
  <si>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</si>
  <si>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</si>
  <si>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</si>
  <si>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</si>
  <si>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</si>
  <si>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</si>
  <si>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</si>
  <si>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</si>
  <si>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</si>
  <si>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</si>
  <si>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</si>
  <si>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</si>
  <si>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</si>
  <si>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</si>
  <si>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</si>
  <si>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</si>
  <si>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</si>
  <si>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</si>
  <si>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</si>
  <si>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</si>
  <si>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</si>
  <si>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</si>
  <si>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</si>
  <si>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</si>
  <si>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</si>
  <si>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</si>
  <si>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</si>
  <si>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</si>
  <si>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</si>
  <si>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</si>
  <si>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</si>
  <si>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</si>
  <si>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</si>
  <si>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</si>
  <si>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</si>
  <si>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</si>
  <si>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</si>
  <si>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</si>
  <si>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</si>
  <si>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</si>
  <si>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</si>
  <si>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</si>
  <si>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</si>
  <si>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</si>
  <si>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</si>
  <si>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</si>
  <si>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</si>
  <si>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</si>
  <si>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</si>
  <si>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</si>
  <si>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</si>
  <si>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</si>
  <si>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</si>
  <si>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</si>
  <si>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</si>
  <si>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</si>
  <si>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</si>
  <si>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</si>
  <si>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</si>
  <si>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</si>
  <si>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</si>
  <si>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</si>
  <si>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</si>
  <si>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</si>
  <si>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</si>
  <si>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</si>
  <si>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</si>
  <si>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</si>
  <si>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</si>
  <si>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</si>
  <si>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</si>
  <si>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</si>
  <si>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</si>
  <si>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</si>
  <si>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</si>
  <si>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</si>
  <si>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</si>
  <si>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</si>
  <si>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</si>
  <si>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</si>
  <si>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</si>
  <si>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</si>
  <si>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</si>
  <si>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</si>
  <si>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</si>
  <si>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</si>
  <si>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</si>
  <si>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</si>
  <si>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</si>
  <si>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</si>
  <si>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</si>
  <si>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</si>
  <si>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</si>
  <si>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</si>
  <si>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</si>
  <si>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</si>
  <si>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</si>
  <si>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</si>
  <si>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</si>
  <si>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</si>
  <si>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</si>
  <si>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</si>
  <si>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</si>
  <si>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</si>
  <si>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</si>
  <si>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</si>
  <si>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</si>
  <si>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</si>
  <si>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</si>
  <si>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</si>
  <si>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</si>
  <si>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</si>
  <si>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</si>
  <si>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</si>
  <si>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</si>
  <si>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</si>
  <si>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</si>
  <si>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</si>
  <si>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</si>
  <si>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</si>
  <si>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</si>
  <si>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</si>
  <si>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</si>
  <si>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</si>
  <si>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</si>
  <si>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</si>
  <si>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</si>
  <si>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</si>
  <si>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</si>
  <si>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</si>
  <si>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</si>
  <si>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</si>
  <si>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</si>
  <si>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</si>
  <si>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</si>
  <si>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</si>
  <si>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</si>
  <si>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</si>
  <si>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</si>
  <si>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</si>
  <si>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</si>
  <si>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</si>
  <si>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</si>
  <si>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</si>
  <si>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</si>
  <si>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</si>
  <si>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</si>
  <si>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</si>
  <si>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</si>
  <si>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</si>
  <si>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</si>
  <si>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</si>
  <si>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</si>
  <si>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</si>
  <si>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</si>
  <si>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</si>
  <si>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</si>
  <si>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</si>
  <si>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</si>
  <si>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</si>
  <si>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</si>
  <si>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</si>
  <si>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</si>
  <si>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</si>
  <si>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</si>
  <si>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</si>
  <si>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</si>
  <si>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</si>
  <si>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</si>
  <si>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</si>
  <si>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</si>
  <si>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</si>
  <si>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</si>
  <si>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</si>
  <si>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</si>
  <si>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</si>
  <si>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</si>
  <si>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</si>
  <si>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</si>
  <si>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</si>
  <si>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</si>
  <si>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</si>
  <si>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</si>
  <si>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</si>
  <si>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</si>
  <si>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</si>
  <si>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</si>
  <si>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</si>
  <si>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</si>
  <si>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</si>
  <si>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</si>
  <si>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</si>
  <si>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</si>
  <si>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</si>
  <si>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</si>
  <si>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</si>
  <si>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</si>
  <si>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</si>
  <si>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</si>
  <si>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</si>
  <si>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</si>
  <si>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</si>
  <si>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</si>
  <si>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</si>
  <si>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</si>
  <si>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</si>
  <si>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</si>
  <si>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</si>
  <si>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</si>
  <si>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</si>
  <si>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</si>
  <si>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</si>
  <si>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</si>
  <si>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</si>
  <si>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</si>
  <si>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</si>
  <si>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</si>
  <si>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</si>
  <si>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</si>
  <si>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</si>
  <si>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</si>
  <si>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</si>
  <si>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</si>
  <si>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</si>
  <si>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</si>
  <si>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</si>
  <si>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</si>
  <si>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</si>
  <si>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</si>
  <si>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</si>
  <si>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</si>
  <si>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</si>
  <si>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</si>
  <si>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</si>
  <si>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</si>
  <si>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</si>
  <si>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</si>
  <si>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</si>
  <si>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</si>
  <si>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</si>
  <si>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</si>
  <si>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</si>
  <si>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</si>
  <si>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</si>
  <si>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</si>
  <si>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</si>
  <si>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</si>
  <si>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</si>
  <si>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</si>
  <si>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</si>
  <si>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</si>
  <si>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</si>
  <si>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</si>
  <si>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</si>
  <si>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</si>
  <si>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</si>
  <si>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</si>
  <si>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</si>
  <si>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</si>
  <si>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</si>
  <si>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</si>
  <si>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</si>
  <si>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</si>
  <si>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</si>
  <si>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</si>
  <si>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</si>
  <si>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</si>
  <si>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</si>
  <si>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</si>
  <si>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</si>
  <si>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</si>
  <si>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</si>
  <si>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</si>
  <si>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</si>
  <si>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</si>
  <si>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</si>
  <si>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</si>
  <si>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</si>
  <si>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</si>
  <si>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</si>
  <si>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</si>
  <si>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</si>
  <si>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</si>
  <si>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</si>
  <si>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</si>
  <si>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</si>
  <si>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</si>
  <si>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</si>
  <si>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</si>
  <si>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</si>
  <si>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</si>
  <si>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</si>
  <si>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</si>
  <si>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</si>
  <si>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</si>
  <si>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</si>
  <si>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</si>
  <si>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</si>
  <si>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</si>
  <si>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</si>
  <si>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</si>
  <si>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</si>
  <si>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</si>
  <si>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</si>
  <si>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</si>
  <si>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</si>
  <si>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</si>
  <si>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</si>
  <si>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</si>
  <si>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</si>
  <si>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</si>
  <si>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</si>
  <si>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</si>
  <si>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</si>
  <si>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</si>
  <si>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</si>
  <si>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</si>
  <si>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</si>
  <si>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</si>
  <si>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</si>
  <si>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</si>
  <si>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</si>
  <si>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</si>
  <si>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</si>
  <si>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</si>
  <si>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</si>
  <si>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</si>
  <si>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</si>
  <si>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</si>
  <si>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</si>
  <si>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</si>
  <si>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</si>
  <si>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</si>
  <si>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</si>
  <si>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</si>
  <si>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</si>
  <si>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</si>
  <si>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</si>
  <si>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</si>
  <si>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</si>
  <si>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</si>
  <si>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</si>
  <si>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</si>
  <si>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</si>
  <si>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</si>
  <si>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</si>
  <si>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</si>
  <si>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</si>
  <si>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</si>
  <si>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</si>
  <si>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</si>
  <si>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</si>
  <si>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</si>
  <si>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</si>
  <si>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</si>
  <si>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</si>
  <si>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</si>
  <si>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</si>
  <si>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</si>
  <si>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</si>
  <si>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</si>
  <si>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</si>
  <si>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</si>
  <si>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</si>
  <si>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</si>
  <si>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</si>
  <si>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</si>
  <si>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</si>
  <si>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</si>
  <si>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</si>
  <si>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</si>
  <si>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</si>
  <si>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</si>
  <si>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</si>
  <si>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</si>
  <si>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</si>
  <si>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</si>
  <si>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</si>
  <si>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</si>
  <si>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</si>
  <si>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</si>
  <si>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</si>
  <si>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</si>
  <si>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</si>
  <si>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</si>
  <si>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</si>
  <si>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</si>
  <si>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</si>
  <si>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</si>
  <si>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</si>
  <si>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</si>
  <si>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</si>
  <si>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</si>
  <si>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</si>
  <si>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</si>
  <si>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</si>
  <si>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</si>
  <si>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</si>
  <si>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</si>
  <si>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</si>
  <si>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</si>
  <si>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</si>
  <si>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</si>
  <si>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</si>
  <si>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</si>
  <si>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</si>
  <si>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</si>
  <si>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</si>
  <si>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</si>
  <si>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</si>
  <si>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</si>
  <si>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</si>
  <si>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</si>
  <si>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</si>
  <si>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</si>
  <si>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</si>
  <si>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</si>
  <si>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</si>
  <si>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</si>
  <si>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</si>
  <si>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</si>
  <si>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</si>
  <si>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</si>
  <si>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</si>
  <si>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</si>
  <si>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</si>
  <si>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</si>
  <si>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</si>
  <si>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</si>
  <si>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</si>
  <si>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</si>
  <si>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</si>
  <si>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</si>
  <si>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</si>
  <si>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</si>
  <si>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</si>
  <si>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</si>
  <si>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</si>
  <si>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</si>
  <si>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</si>
  <si>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</si>
  <si>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</si>
  <si>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</si>
  <si>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</si>
  <si>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</si>
  <si>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</si>
  <si>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</si>
  <si>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</si>
  <si>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</si>
  <si>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</si>
  <si>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</si>
  <si>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</si>
  <si>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</si>
  <si>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</si>
  <si>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</si>
  <si>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</si>
  <si>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</si>
  <si>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</si>
  <si>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</si>
  <si>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</si>
  <si>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</si>
  <si>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</si>
  <si>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</si>
  <si>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</si>
  <si>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</si>
  <si>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</si>
  <si>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</si>
  <si>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</si>
  <si>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</si>
  <si>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</si>
  <si>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</si>
  <si>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</si>
  <si>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</si>
  <si>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</si>
  <si>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</si>
  <si>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</si>
  <si>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</si>
  <si>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</si>
  <si>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</si>
  <si>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</si>
  <si>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</si>
  <si>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</si>
  <si>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</si>
  <si>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</si>
  <si>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</si>
  <si>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</si>
  <si>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</si>
  <si>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</si>
  <si>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</si>
  <si>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</si>
  <si>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</si>
  <si>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</si>
  <si>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</si>
  <si>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</si>
  <si>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</si>
  <si>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</si>
  <si>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</si>
  <si>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</si>
  <si>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</si>
  <si>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</si>
  <si>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</si>
  <si>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</si>
  <si>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</si>
  <si>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</si>
  <si>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</si>
  <si>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</si>
  <si>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</si>
  <si>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</si>
  <si>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</si>
  <si>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</si>
  <si>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</si>
  <si>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</si>
  <si>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</si>
  <si>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</si>
  <si>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</si>
  <si>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</si>
  <si>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</si>
  <si>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</si>
  <si>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</si>
  <si>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</si>
  <si>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</si>
  <si>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</si>
  <si>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</si>
  <si>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</si>
  <si>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</si>
  <si>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</si>
  <si>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</si>
  <si>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</si>
  <si>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</si>
  <si>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</si>
  <si>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</si>
  <si>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</si>
  <si>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</si>
  <si>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</si>
  <si>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</si>
  <si>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</si>
  <si>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</si>
  <si>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</si>
  <si>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</si>
  <si>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</si>
  <si>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</si>
  <si>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</si>
  <si>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</si>
  <si>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</si>
  <si>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</si>
  <si>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</si>
  <si>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</si>
  <si>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</si>
  <si>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</si>
  <si>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</si>
  <si>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</si>
  <si>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</si>
  <si>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</si>
  <si>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</si>
  <si>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</si>
  <si>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</si>
  <si>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</si>
  <si>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</si>
  <si>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</si>
  <si>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</si>
  <si>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</si>
  <si>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</si>
  <si>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</si>
  <si>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</si>
  <si>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</si>
  <si>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</si>
  <si>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</si>
  <si>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</si>
  <si>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</si>
  <si>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</si>
  <si>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</si>
  <si>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</si>
  <si>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</si>
  <si>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</si>
  <si>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</si>
  <si>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</si>
  <si>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</si>
  <si>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</si>
  <si>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</si>
  <si>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</si>
  <si>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</si>
  <si>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</si>
  <si>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</si>
  <si>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</si>
  <si>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</si>
  <si>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</si>
  <si>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</si>
  <si>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</si>
  <si>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</si>
  <si>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</si>
  <si>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</si>
  <si>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</si>
  <si>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</si>
  <si>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</si>
  <si>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</si>
  <si>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</si>
  <si>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</si>
  <si>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</si>
  <si>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</si>
  <si>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</si>
  <si>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</si>
  <si>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</si>
  <si>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</si>
  <si>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</si>
  <si>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</si>
  <si>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</si>
  <si>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</si>
  <si>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</si>
  <si>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</si>
  <si>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</si>
  <si>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</si>
  <si>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</si>
  <si>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</si>
  <si>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</si>
  <si>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</si>
  <si>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</si>
  <si>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</si>
  <si>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</si>
  <si>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</si>
  <si>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</si>
  <si>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</si>
  <si>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</si>
  <si>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</si>
  <si>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</si>
  <si>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</si>
  <si>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</si>
  <si>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</si>
  <si>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</si>
  <si>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</si>
  <si>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</si>
  <si>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</si>
  <si>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</si>
  <si>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</si>
  <si>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</si>
  <si>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</si>
  <si>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</si>
  <si>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</si>
  <si>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</si>
  <si>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</si>
  <si>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</si>
  <si>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</si>
  <si>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</si>
  <si>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</si>
  <si>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</si>
  <si>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</si>
  <si>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</si>
  <si>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</si>
  <si>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</si>
  <si>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</si>
  <si>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</si>
  <si>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</si>
  <si>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</si>
  <si>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</si>
  <si>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</si>
  <si>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</si>
  <si>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</si>
  <si>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</si>
  <si>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</si>
  <si>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</si>
  <si>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</si>
  <si>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</si>
  <si>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</si>
  <si>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</si>
  <si>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</si>
  <si>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</si>
  <si>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</si>
  <si>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</si>
  <si>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</si>
  <si>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</si>
  <si>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</si>
  <si>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</si>
  <si>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</si>
  <si>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</si>
  <si>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</si>
  <si>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</si>
  <si>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</si>
  <si>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</si>
  <si>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</si>
  <si>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</si>
  <si>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</si>
  <si>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</si>
  <si>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</si>
  <si>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</si>
  <si>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</si>
  <si>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</si>
  <si>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</si>
  <si>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</si>
  <si>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</si>
  <si>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</si>
  <si>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</si>
  <si>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</si>
  <si>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</si>
  <si>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</si>
  <si>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</si>
  <si>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</si>
  <si>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</si>
  <si>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</si>
  <si>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</si>
  <si>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</si>
  <si>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</si>
  <si>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</si>
  <si>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</si>
  <si>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</si>
  <si>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</si>
  <si>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</si>
  <si>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</si>
  <si>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</si>
  <si>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</si>
  <si>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</si>
  <si>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</si>
  <si>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</si>
  <si>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</si>
  <si>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</si>
  <si>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</si>
  <si>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</si>
  <si>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</si>
  <si>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</si>
  <si>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</si>
  <si>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</si>
  <si>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</si>
  <si>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</si>
  <si>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</si>
  <si>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</si>
  <si>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</si>
  <si>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</si>
  <si>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</si>
  <si>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</si>
  <si>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</si>
  <si>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</si>
  <si>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</si>
  <si>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</si>
  <si>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</si>
  <si>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</si>
  <si>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</si>
  <si>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</si>
  <si>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</si>
  <si>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</si>
  <si>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</si>
  <si>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</si>
  <si>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</si>
  <si>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</si>
  <si>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</si>
  <si>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</si>
  <si>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</si>
  <si>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</si>
  <si>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</si>
  <si>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</si>
  <si>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</si>
  <si>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</si>
  <si>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</si>
  <si>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</si>
  <si>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</si>
  <si>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</si>
  <si>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</si>
  <si>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</si>
  <si>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</si>
  <si>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</si>
  <si>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</si>
  <si>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</si>
  <si>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</si>
  <si>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</si>
  <si>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</si>
  <si>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</si>
  <si>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</si>
  <si>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</si>
  <si>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</si>
  <si>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</si>
  <si>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</si>
  <si>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</si>
  <si>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</si>
  <si>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</si>
  <si>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</si>
  <si>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</si>
  <si>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</si>
  <si>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</si>
  <si>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</si>
  <si>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</si>
  <si>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</si>
  <si>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</si>
  <si>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</si>
  <si>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</si>
  <si>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</si>
  <si>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</si>
  <si>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</si>
  <si>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</si>
  <si>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</si>
  <si>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</si>
  <si>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</si>
  <si>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</si>
  <si>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</si>
  <si>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</si>
  <si>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</si>
  <si>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</si>
  <si>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</si>
  <si>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</si>
  <si>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</si>
  <si>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</si>
  <si>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</si>
  <si>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</si>
  <si>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</si>
  <si>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</si>
  <si>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</si>
  <si>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</si>
  <si>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</si>
  <si>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</si>
  <si>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</si>
  <si>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</si>
  <si>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</si>
  <si>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</si>
  <si>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</si>
  <si>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</si>
  <si>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</si>
  <si>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</si>
  <si>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</si>
  <si>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</si>
  <si>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</si>
  <si>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</si>
  <si>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</si>
  <si>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</si>
  <si>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</si>
  <si>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</si>
  <si>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</si>
  <si>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</si>
  <si>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</si>
  <si>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</si>
  <si>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</si>
  <si>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</si>
  <si>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</si>
  <si>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</si>
  <si>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</si>
  <si>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</si>
  <si>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</si>
  <si>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</si>
  <si>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</si>
  <si>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</si>
  <si>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</si>
  <si>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</si>
  <si>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</si>
  <si>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</si>
  <si>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</si>
  <si>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</si>
  <si>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</si>
  <si>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</si>
  <si>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</si>
  <si>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</si>
  <si>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</si>
  <si>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</si>
  <si>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</si>
  <si>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</si>
  <si>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</si>
  <si>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</si>
  <si>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</si>
  <si>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</si>
  <si>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</si>
  <si>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</si>
  <si>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</si>
  <si>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</si>
  <si>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</si>
  <si>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</si>
  <si>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</si>
  <si>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</si>
  <si>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</si>
  <si>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</si>
  <si>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</si>
  <si>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</si>
  <si>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</si>
  <si>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</si>
  <si>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</si>
  <si>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</si>
  <si>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</si>
  <si>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</si>
  <si>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</si>
  <si>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</si>
  <si>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</si>
  <si>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</si>
  <si>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</si>
  <si>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</si>
  <si>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</si>
  <si>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</si>
  <si>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</si>
  <si>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</si>
  <si>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</si>
  <si>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</si>
  <si>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</si>
  <si>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</si>
  <si>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</si>
  <si>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</si>
  <si>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</si>
  <si>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</si>
  <si>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</si>
  <si>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</si>
  <si>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</si>
  <si>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</si>
  <si>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</si>
  <si>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</si>
  <si>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</si>
  <si>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</si>
  <si>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</si>
  <si>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</si>
  <si>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</si>
  <si>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</si>
  <si>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</si>
  <si>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</si>
  <si>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</si>
  <si>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</si>
  <si>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</si>
  <si>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</si>
  <si>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</si>
  <si>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</si>
  <si>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</si>
  <si>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</si>
  <si>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</si>
  <si>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</si>
  <si>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</si>
  <si>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</si>
  <si>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</si>
  <si>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</si>
  <si>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</si>
  <si>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</si>
  <si>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</si>
  <si>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</si>
  <si>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</si>
  <si>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</si>
  <si>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</si>
  <si>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</si>
  <si>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</si>
  <si>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</si>
  <si>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</si>
  <si>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</si>
  <si>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</si>
  <si>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</si>
  <si>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</si>
  <si>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</si>
  <si>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</si>
  <si>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</si>
  <si>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</si>
  <si>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</si>
  <si>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</si>
  <si>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</si>
  <si>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</si>
  <si>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</si>
  <si>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</si>
  <si>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</si>
  <si>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</si>
  <si>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</si>
  <si>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</si>
  <si>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</si>
  <si>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</si>
  <si>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</si>
  <si>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</si>
  <si>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</si>
  <si>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</si>
  <si>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</si>
  <si>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</si>
  <si>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</si>
  <si>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</si>
  <si>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</si>
  <si>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</si>
  <si>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</si>
  <si>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</si>
  <si>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</si>
  <si>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</si>
  <si>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</si>
  <si>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</si>
  <si>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</si>
  <si>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</si>
  <si>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</si>
  <si>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</si>
  <si>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</si>
  <si>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</si>
  <si>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</si>
  <si>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</si>
  <si>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</si>
  <si>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</si>
  <si>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</si>
  <si>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</si>
  <si>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</si>
  <si>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</si>
  <si>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</si>
  <si>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</si>
  <si>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</si>
  <si>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</si>
  <si>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</si>
  <si>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</si>
  <si>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</si>
  <si>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</si>
  <si>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</si>
  <si>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</si>
  <si>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</si>
  <si>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</si>
  <si>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</si>
  <si>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</si>
  <si>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</si>
  <si>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</si>
  <si>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</si>
  <si>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</si>
  <si>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</si>
  <si>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</si>
  <si>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</si>
  <si>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</si>
  <si>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</si>
  <si>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</si>
  <si>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</si>
  <si>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</si>
  <si>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</si>
  <si>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</si>
  <si>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</si>
  <si>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</si>
  <si>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</si>
  <si>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</si>
  <si>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</si>
  <si>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</si>
  <si>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</si>
  <si>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</si>
  <si>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</si>
  <si>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</si>
  <si>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</si>
  <si>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</si>
  <si>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</si>
  <si>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</si>
  <si>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</si>
  <si>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</si>
  <si>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</si>
  <si>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</si>
  <si>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</si>
  <si>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</si>
  <si>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</si>
  <si>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</si>
  <si>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</si>
  <si>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</si>
  <si>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</si>
  <si>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</si>
  <si>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</si>
  <si>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</si>
  <si>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</si>
  <si>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</si>
  <si>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</si>
  <si>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</si>
  <si>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</si>
  <si>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</si>
  <si>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</si>
  <si>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</si>
  <si>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</si>
  <si>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</si>
  <si>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</si>
  <si>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</si>
  <si>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</si>
  <si>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</si>
  <si>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</si>
  <si>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</si>
  <si>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</si>
  <si>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</si>
  <si>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</si>
  <si>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</si>
  <si>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</si>
  <si>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</si>
  <si>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</si>
  <si>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</si>
  <si>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</si>
  <si>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</si>
  <si>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</si>
  <si>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</si>
  <si>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</si>
  <si>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</si>
  <si>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</si>
  <si>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</si>
  <si>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</si>
  <si>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</si>
  <si>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</si>
  <si>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</si>
  <si>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</si>
  <si>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</si>
  <si>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</si>
  <si>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</si>
  <si>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</si>
  <si>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</si>
  <si>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</si>
  <si>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</si>
  <si>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</si>
  <si>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</si>
  <si>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</si>
  <si>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</si>
  <si>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</si>
  <si>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</si>
  <si>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</si>
  <si>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</si>
  <si>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</si>
  <si>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</si>
  <si>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</si>
  <si>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</si>
  <si>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</si>
  <si>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</si>
  <si>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</si>
  <si>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</si>
  <si>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</si>
  <si>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</si>
  <si>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</si>
  <si>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</si>
  <si>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</si>
  <si>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</si>
  <si>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</si>
  <si>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</si>
  <si>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</si>
  <si>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</si>
  <si>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</si>
  <si>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</si>
  <si>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</si>
  <si>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</si>
  <si>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</si>
  <si>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</si>
  <si>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</si>
  <si>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</si>
  <si>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</si>
  <si>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</si>
  <si>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</si>
  <si>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</si>
  <si>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</si>
  <si>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</si>
  <si>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</si>
  <si>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</si>
  <si>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</si>
  <si>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</si>
  <si>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</si>
  <si>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</si>
  <si>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</si>
  <si>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</si>
  <si>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</si>
  <si>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</si>
  <si>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</si>
  <si>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</si>
  <si>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</si>
  <si>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</si>
  <si>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</si>
  <si>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</si>
  <si>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</si>
  <si>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</si>
  <si>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</si>
  <si>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</si>
  <si>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</si>
  <si>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</si>
  <si>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</si>
  <si>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</si>
  <si>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</si>
  <si>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</si>
  <si>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</si>
  <si>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</si>
  <si>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</si>
  <si>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</si>
  <si>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</si>
  <si>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</si>
  <si>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</si>
  <si>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</si>
  <si>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</si>
  <si>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</si>
  <si>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</si>
  <si>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</si>
  <si>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</si>
  <si>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</si>
  <si>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</si>
  <si>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</si>
  <si>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</si>
  <si>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</si>
  <si>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</si>
  <si>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</si>
  <si>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</si>
  <si>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</si>
  <si>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</si>
  <si>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</si>
  <si>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</si>
  <si>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</si>
  <si>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</si>
  <si>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</si>
  <si>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</si>
  <si>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</si>
  <si>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</si>
  <si>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</si>
  <si>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</si>
  <si>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</si>
  <si>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</si>
  <si>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</si>
  <si>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</si>
  <si>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</si>
  <si>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</si>
  <si>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</si>
  <si>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</si>
  <si>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</si>
  <si>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</si>
  <si>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</si>
  <si>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</si>
  <si>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</si>
  <si>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</si>
  <si>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</si>
  <si>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</si>
  <si>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</si>
  <si>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</si>
  <si>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</si>
  <si>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</si>
  <si>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</si>
  <si>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</si>
  <si>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</si>
  <si>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</si>
  <si>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</si>
  <si>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</si>
  <si>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</si>
  <si>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</si>
  <si>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</si>
  <si>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</si>
  <si>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</si>
  <si>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</si>
  <si>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</si>
  <si>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</si>
  <si>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</si>
  <si>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</si>
  <si>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</si>
  <si>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</si>
  <si>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</si>
  <si>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</si>
  <si>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</si>
  <si>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</si>
  <si>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</si>
  <si>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</si>
  <si>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</si>
  <si>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</si>
  <si>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</si>
  <si>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</si>
  <si>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</si>
  <si>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</si>
  <si>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</si>
  <si>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</si>
  <si>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</si>
  <si>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</si>
  <si>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</si>
  <si>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</si>
  <si>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</si>
  <si>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</si>
  <si>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</si>
  <si>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</si>
  <si>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</si>
  <si>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</si>
  <si>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</si>
  <si>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</si>
  <si>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</si>
  <si>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</si>
  <si>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</si>
  <si>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</si>
  <si>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</si>
  <si>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</si>
  <si>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</si>
  <si>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</si>
  <si>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</si>
  <si>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</si>
  <si>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</si>
  <si>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</si>
  <si>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</si>
  <si>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</si>
  <si>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</si>
  <si>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</si>
  <si>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</si>
  <si>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</si>
  <si>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</si>
  <si>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</si>
  <si>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</si>
  <si>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</si>
  <si>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</si>
  <si>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</si>
  <si>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</si>
  <si>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</si>
  <si>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</si>
  <si>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</si>
  <si>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</si>
  <si>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</si>
  <si>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</si>
  <si>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</si>
  <si>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</si>
  <si>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</si>
  <si>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</si>
  <si>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</si>
  <si>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</si>
  <si>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</si>
  <si>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</si>
  <si>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</si>
  <si>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</si>
  <si>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</si>
  <si>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</si>
  <si>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</si>
  <si>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</si>
  <si>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</si>
  <si>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</si>
  <si>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</si>
  <si>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</si>
  <si>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</si>
  <si>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</si>
  <si>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</si>
  <si>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</si>
  <si>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</si>
  <si>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</si>
  <si>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</si>
  <si>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</si>
  <si>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</si>
  <si>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</si>
  <si>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</si>
  <si>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</si>
  <si>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</si>
  <si>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</si>
  <si>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</si>
  <si>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</si>
  <si>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</si>
  <si>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</si>
  <si>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</si>
  <si>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</si>
  <si>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</si>
  <si>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</si>
  <si>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</si>
  <si>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</si>
  <si>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</si>
  <si>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</si>
  <si>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</si>
  <si>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</si>
  <si>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</si>
  <si>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</si>
  <si>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</si>
  <si>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</si>
  <si>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</si>
  <si>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</si>
  <si>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</si>
  <si>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</si>
  <si>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</si>
  <si>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</si>
  <si>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</si>
  <si>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</si>
  <si>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</si>
  <si>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</si>
  <si>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</si>
  <si>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</si>
  <si>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</si>
  <si>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</si>
  <si>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</si>
  <si>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</si>
  <si>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</si>
  <si>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</si>
  <si>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</si>
  <si>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</si>
  <si>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</si>
  <si>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</si>
  <si>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</si>
  <si>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</si>
  <si>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</si>
  <si>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</si>
  <si>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</si>
  <si>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</si>
  <si>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</si>
  <si>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</si>
  <si>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</si>
  <si>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</si>
  <si>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</si>
  <si>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</si>
  <si>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</si>
  <si>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</si>
  <si>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</si>
  <si>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</si>
  <si>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</si>
  <si>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</si>
  <si>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</si>
  <si>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</si>
  <si>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</si>
  <si>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</si>
  <si>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</si>
  <si>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</si>
  <si>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</si>
  <si>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</si>
  <si>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</si>
  <si>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</si>
  <si>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</si>
  <si>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</si>
  <si>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</si>
  <si>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</si>
  <si>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</si>
  <si>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</si>
  <si>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</si>
  <si>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</si>
  <si>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</si>
  <si>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</si>
  <si>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</si>
  <si>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</si>
  <si>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</si>
  <si>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</si>
  <si>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</si>
  <si>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</si>
  <si>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</si>
  <si>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</si>
  <si>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</si>
  <si>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</si>
  <si>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</si>
  <si>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</si>
  <si>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</si>
  <si>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</si>
  <si>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</si>
  <si>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</si>
  <si>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</si>
  <si>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</si>
  <si>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</si>
  <si>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</si>
  <si>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</si>
  <si>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</si>
  <si>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</si>
  <si>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</si>
  <si>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</si>
  <si>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</si>
  <si>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</si>
  <si>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</si>
  <si>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</si>
  <si>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</si>
  <si>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</si>
  <si>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</si>
  <si>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</si>
  <si>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</si>
  <si>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</si>
  <si>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</si>
  <si>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</si>
  <si>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</si>
  <si>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</si>
  <si>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</si>
  <si>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</si>
  <si>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</si>
  <si>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</si>
  <si>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</si>
  <si>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</si>
  <si>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</si>
  <si>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</si>
  <si>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</si>
  <si>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</si>
  <si>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</si>
  <si>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</si>
  <si>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</si>
  <si>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</si>
  <si>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</si>
  <si>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</si>
  <si>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</si>
  <si>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</si>
  <si>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</si>
  <si>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</si>
  <si>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</si>
  <si>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</si>
  <si>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</si>
  <si>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</si>
  <si>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</si>
  <si>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</si>
  <si>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</si>
  <si>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</si>
  <si>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</si>
  <si>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</si>
  <si>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</si>
  <si>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</si>
  <si>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</si>
  <si>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</si>
  <si>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</si>
  <si>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</si>
  <si>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</si>
  <si>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</si>
  <si>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</si>
  <si>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</si>
  <si>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</si>
  <si>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</si>
  <si>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</si>
  <si>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</si>
  <si>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</si>
  <si>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</si>
  <si>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</si>
  <si>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</si>
  <si>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</si>
  <si>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</si>
  <si>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</si>
  <si>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</si>
  <si>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</si>
  <si>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</si>
  <si>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</si>
  <si>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</si>
  <si>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</si>
  <si>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</si>
  <si>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</si>
  <si>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</si>
  <si>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</si>
  <si>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</si>
  <si>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</si>
  <si>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</si>
  <si>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</si>
  <si>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</si>
  <si>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</si>
  <si>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</si>
  <si>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</si>
  <si>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</si>
  <si>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</si>
  <si>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</si>
  <si>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</si>
  <si>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</si>
  <si>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</si>
  <si>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</si>
  <si>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</si>
  <si>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</si>
  <si>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</si>
  <si>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</si>
  <si>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</si>
  <si>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</si>
  <si>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</si>
  <si>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</si>
  <si>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</si>
  <si>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</si>
  <si>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</si>
  <si>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</si>
  <si>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</si>
  <si>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</si>
  <si>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</si>
  <si>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</si>
  <si>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</si>
  <si>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</si>
  <si>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</si>
  <si>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</si>
  <si>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</si>
  <si>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</si>
  <si>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</si>
  <si>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</si>
  <si>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</si>
  <si>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</si>
  <si>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</si>
  <si>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</si>
  <si>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</si>
  <si>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</si>
  <si>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</si>
  <si>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</si>
  <si>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</si>
  <si>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</si>
  <si>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</si>
  <si>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</si>
  <si>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</si>
  <si>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</si>
  <si>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</si>
  <si>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</si>
  <si>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</si>
  <si>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</si>
  <si>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</si>
  <si>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</si>
  <si>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</si>
  <si>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</si>
  <si>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</si>
  <si>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</si>
  <si>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</si>
  <si>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</si>
  <si>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</si>
  <si>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</si>
  <si>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</si>
  <si>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</si>
  <si>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</si>
  <si>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</si>
  <si>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</si>
  <si>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</si>
  <si>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</si>
  <si>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</si>
  <si>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</si>
  <si>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</si>
  <si>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</si>
  <si>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</si>
  <si>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</si>
  <si>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</si>
  <si>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</si>
  <si>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</si>
  <si>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</si>
  <si>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</si>
  <si>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</si>
  <si>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</si>
  <si>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</si>
  <si>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</si>
  <si>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</si>
  <si>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</si>
  <si>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</si>
  <si>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</si>
  <si>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</si>
  <si>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</si>
  <si>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</si>
  <si>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</si>
  <si>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</si>
  <si>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</si>
  <si>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</si>
  <si>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</si>
  <si>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</si>
  <si>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</si>
  <si>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</si>
  <si>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</si>
  <si>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</si>
  <si>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</si>
  <si>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</si>
  <si>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</si>
  <si>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</si>
  <si>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</si>
  <si>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</si>
  <si>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</si>
  <si>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</si>
  <si>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</si>
  <si>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</si>
  <si>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</si>
  <si>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</si>
  <si>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</si>
  <si>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</si>
  <si>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</si>
  <si>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</si>
  <si>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</si>
  <si>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</si>
  <si>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</si>
  <si>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</si>
  <si>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</si>
  <si>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</si>
  <si>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</si>
  <si>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</si>
  <si>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</si>
  <si>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</si>
  <si>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</si>
  <si>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</si>
  <si>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</si>
  <si>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</si>
  <si>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</si>
  <si>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</si>
  <si>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</si>
  <si>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</si>
  <si>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</si>
  <si>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</si>
  <si>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</si>
  <si>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</si>
  <si>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</si>
  <si>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</si>
  <si>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</si>
  <si>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</si>
  <si>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</si>
  <si>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</si>
  <si>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</si>
  <si>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</si>
  <si>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</si>
  <si>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</si>
  <si>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</si>
  <si>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</si>
  <si>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</si>
  <si>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</si>
  <si>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</si>
  <si>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</si>
  <si>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</si>
  <si>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</si>
  <si>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</si>
  <si>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</si>
  <si>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</si>
  <si>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</si>
  <si>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</si>
  <si>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</si>
  <si>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</si>
  <si>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</si>
  <si>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</si>
  <si>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</si>
  <si>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</si>
  <si>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</si>
  <si>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</si>
  <si>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</si>
  <si>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</si>
  <si>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</si>
  <si>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</si>
  <si>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</si>
  <si>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</si>
  <si>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</si>
  <si>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</si>
  <si>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</si>
  <si>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</si>
  <si>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</si>
  <si>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</si>
  <si>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</si>
  <si>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</si>
  <si>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</si>
  <si>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</si>
  <si>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</si>
  <si>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</si>
  <si>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</si>
  <si>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</si>
  <si>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</si>
  <si>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</si>
  <si>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</si>
  <si>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</si>
  <si>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</si>
  <si>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</si>
  <si>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</si>
  <si>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</si>
  <si>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</si>
  <si>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</si>
  <si>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</si>
  <si>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</si>
  <si>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</si>
  <si>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</si>
  <si>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</si>
  <si>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</si>
  <si>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</si>
  <si>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</si>
  <si>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</si>
  <si>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</si>
  <si>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</si>
  <si>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</si>
  <si>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</si>
  <si>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</si>
  <si>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</si>
  <si>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</si>
  <si>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</si>
  <si>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</si>
  <si>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</si>
  <si>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</si>
  <si>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</si>
  <si>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</si>
  <si>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</si>
  <si>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</si>
  <si>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</si>
  <si>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</si>
  <si>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</si>
  <si>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</si>
  <si>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</si>
  <si>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</si>
  <si>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</si>
  <si>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</si>
  <si>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</si>
  <si>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</si>
  <si>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</si>
  <si>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</si>
  <si>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</si>
  <si>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</si>
  <si>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</si>
  <si>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</si>
  <si>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</si>
  <si>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</si>
  <si>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</si>
  <si>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</si>
  <si>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</si>
  <si>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</si>
  <si>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</si>
  <si>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</si>
  <si>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</si>
  <si>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</si>
  <si>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</si>
  <si>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</si>
  <si>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</si>
  <si>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</si>
  <si>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</si>
  <si>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</si>
  <si>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</si>
  <si>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</si>
  <si>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</si>
  <si>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</si>
  <si>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</si>
  <si>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</si>
  <si>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</si>
  <si>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</si>
  <si>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</si>
  <si>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</si>
  <si>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</si>
  <si>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</si>
  <si>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</si>
  <si>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</si>
  <si>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</si>
  <si>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</si>
  <si>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</si>
  <si>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</si>
  <si>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</si>
  <si>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</si>
  <si>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</si>
  <si>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</si>
  <si>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</si>
  <si>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</si>
  <si>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</si>
  <si>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</si>
  <si>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</si>
  <si>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</si>
  <si>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</si>
  <si>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</si>
  <si>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</si>
  <si>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</si>
  <si>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</si>
  <si>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</si>
  <si>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</si>
  <si>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</si>
  <si>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</si>
  <si>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</si>
  <si>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</si>
  <si>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</si>
  <si>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</si>
  <si>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</si>
  <si>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</si>
  <si>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</si>
  <si>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</si>
  <si>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</si>
  <si>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</si>
  <si>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</si>
  <si>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</si>
  <si>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</si>
  <si>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</si>
  <si>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</si>
  <si>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</si>
  <si>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</si>
  <si>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</si>
  <si>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</si>
  <si>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</si>
  <si>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</si>
  <si>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</si>
  <si>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</si>
  <si>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</si>
  <si>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</si>
  <si>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</si>
  <si>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</si>
  <si>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</si>
  <si>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</si>
  <si>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</si>
  <si>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</si>
  <si>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</si>
  <si>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</si>
  <si>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</si>
  <si>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</si>
  <si>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</si>
  <si>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</si>
  <si>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</si>
  <si>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</si>
  <si>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</si>
  <si>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</si>
  <si>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</si>
  <si>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</si>
  <si>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</si>
  <si>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</si>
  <si>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</si>
  <si>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</si>
  <si>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</si>
  <si>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</si>
  <si>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</si>
  <si>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</si>
  <si>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</si>
  <si>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</si>
  <si>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</si>
  <si>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</si>
  <si>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</si>
  <si>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</si>
  <si>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</si>
  <si>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</si>
  <si>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</si>
  <si>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</si>
  <si>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</si>
  <si>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</si>
  <si>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</si>
  <si>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</si>
  <si>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</si>
  <si>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</si>
  <si>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</si>
  <si>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</si>
  <si>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</si>
  <si>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</si>
  <si>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</si>
  <si>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</si>
  <si>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</si>
  <si>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</si>
  <si>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</si>
  <si>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</si>
  <si>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</si>
  <si>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</si>
  <si>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</si>
  <si>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</si>
  <si>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</si>
  <si>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</si>
  <si>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</si>
  <si>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</si>
  <si>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</si>
  <si>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</si>
  <si>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</si>
  <si>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</si>
  <si>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</si>
  <si>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</si>
  <si>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</si>
  <si>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</si>
  <si>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</si>
  <si>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</si>
  <si>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</si>
  <si>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</si>
  <si>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</si>
  <si>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</si>
  <si>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</si>
  <si>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</si>
  <si>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</si>
  <si>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</si>
  <si>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</si>
  <si>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</si>
  <si>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</si>
  <si>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</si>
  <si>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</si>
  <si>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</si>
  <si>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</si>
  <si>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</si>
  <si>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</si>
  <si>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</si>
  <si>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</si>
  <si>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</si>
  <si>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</si>
  <si>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</si>
  <si>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</si>
  <si>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</si>
  <si>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</si>
  <si>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</si>
  <si>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</si>
  <si>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</si>
  <si>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</si>
  <si>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</si>
  <si>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</si>
  <si>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</si>
  <si>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</si>
  <si>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</si>
  <si>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</si>
  <si>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</si>
  <si>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</si>
  <si>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</si>
  <si>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</si>
  <si>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</si>
  <si>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</si>
  <si>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</si>
  <si>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</si>
  <si>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</si>
  <si>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</si>
  <si>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</si>
  <si>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</si>
  <si>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</si>
  <si>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</si>
  <si>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</si>
  <si>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</si>
  <si>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</si>
  <si>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</si>
  <si>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</si>
  <si>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</si>
  <si>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</si>
  <si>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</si>
  <si>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</si>
  <si>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</si>
  <si>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</si>
  <si>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</si>
  <si>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</si>
  <si>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</si>
  <si>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</si>
  <si>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</si>
  <si>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</si>
  <si>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</si>
  <si>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</si>
  <si>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</si>
  <si>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</si>
  <si>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</si>
  <si>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</si>
  <si>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</si>
  <si>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</si>
  <si>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</si>
  <si>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</si>
  <si>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</si>
  <si>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</si>
  <si>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</si>
  <si>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</si>
  <si>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</si>
  <si>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</si>
  <si>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</si>
  <si>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</si>
  <si>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</si>
  <si>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</si>
  <si>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</si>
  <si>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</si>
  <si>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</si>
  <si>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</si>
  <si>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</si>
  <si>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</si>
  <si>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</si>
  <si>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</si>
  <si>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</si>
  <si>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</si>
  <si>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</si>
  <si>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</si>
  <si>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</si>
  <si>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</si>
  <si>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</si>
  <si>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</si>
  <si>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</si>
  <si>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</si>
  <si>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</si>
  <si>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</si>
  <si>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</si>
  <si>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</si>
  <si>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</si>
  <si>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</si>
  <si>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</si>
  <si>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</si>
  <si>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</si>
  <si>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</si>
  <si>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</si>
  <si>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</si>
  <si>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</si>
  <si>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</si>
  <si>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</si>
  <si>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</si>
  <si>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</si>
  <si>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</si>
  <si>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</si>
  <si>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</si>
  <si>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</si>
  <si>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</si>
  <si>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</si>
  <si>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</si>
  <si>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</si>
  <si>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</si>
  <si>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</si>
  <si>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</si>
  <si>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</si>
  <si>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</si>
  <si>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</si>
  <si>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</si>
  <si>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</si>
  <si>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</si>
  <si>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</si>
  <si>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</si>
  <si>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</si>
  <si>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</si>
  <si>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</si>
  <si>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</si>
  <si>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</si>
  <si>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</si>
  <si>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</si>
  <si>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</si>
  <si>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</si>
  <si>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</si>
  <si>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</si>
  <si>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</si>
  <si>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</si>
  <si>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</si>
  <si>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</si>
  <si>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</si>
  <si>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</si>
  <si>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</si>
  <si>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</si>
  <si>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</si>
  <si>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</si>
  <si>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</si>
  <si>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</si>
  <si>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</si>
  <si>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</si>
  <si>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</si>
  <si>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</si>
  <si>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</si>
  <si>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</si>
  <si>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</si>
  <si>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</si>
  <si>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</si>
  <si>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</si>
  <si>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</si>
  <si>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</si>
  <si>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</si>
  <si>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</si>
  <si>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</si>
  <si>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</si>
  <si>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</si>
  <si>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</si>
  <si>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</si>
  <si>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</si>
  <si>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</si>
  <si>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</si>
  <si>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</si>
  <si>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</si>
  <si>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</si>
  <si>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</si>
  <si>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</si>
  <si>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</si>
  <si>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</si>
  <si>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</si>
  <si>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</si>
  <si>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</si>
  <si>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</si>
  <si>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</si>
  <si>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</si>
  <si>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</si>
  <si>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</si>
  <si>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</si>
  <si>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</si>
  <si>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</si>
  <si>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</si>
  <si>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</si>
  <si>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</si>
  <si>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</si>
  <si>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</si>
  <si>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</si>
  <si>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</si>
  <si>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</si>
  <si>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</si>
  <si>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</si>
  <si>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</si>
  <si>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</si>
  <si>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</si>
  <si>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</si>
  <si>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</si>
  <si>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</si>
  <si>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</si>
  <si>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</si>
  <si>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</si>
  <si>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</si>
  <si>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</si>
  <si>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</si>
  <si>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</si>
  <si>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</si>
  <si>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</si>
  <si>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</si>
  <si>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</si>
  <si>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</si>
  <si>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</si>
  <si>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</si>
  <si>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</si>
  <si>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</si>
  <si>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</si>
  <si>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</si>
  <si>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</si>
  <si>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</si>
  <si>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</si>
  <si>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</si>
  <si>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</si>
  <si>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</si>
  <si>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</si>
  <si>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</si>
  <si>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</si>
  <si>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</si>
  <si>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</si>
  <si>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</si>
  <si>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</si>
  <si>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</si>
  <si>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</si>
  <si>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</si>
  <si>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</si>
  <si>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</si>
  <si>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</si>
  <si>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</si>
  <si>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</si>
  <si>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</si>
  <si>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</si>
  <si>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</si>
  <si>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</si>
  <si>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</si>
  <si>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</si>
  <si>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</si>
  <si>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</si>
  <si>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</si>
  <si>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</si>
  <si>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</si>
  <si>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</si>
  <si>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</si>
  <si>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</si>
  <si>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</si>
  <si>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</si>
  <si>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</si>
  <si>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</si>
  <si>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</si>
  <si>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</si>
  <si>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</si>
  <si>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</si>
  <si>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</si>
  <si>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</si>
  <si>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</si>
  <si>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</si>
  <si>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</si>
  <si>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</si>
  <si>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</si>
  <si>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</si>
  <si>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</si>
  <si>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</si>
  <si>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</si>
  <si>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</si>
  <si>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</si>
  <si>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</si>
  <si>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</si>
  <si>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</si>
  <si>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</si>
  <si>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</si>
  <si>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</si>
  <si>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</si>
  <si>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</si>
  <si>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</si>
  <si>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</si>
  <si>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</si>
  <si>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</si>
  <si>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</si>
  <si>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</si>
  <si>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</si>
  <si>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</si>
  <si>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</si>
  <si>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</si>
  <si>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</si>
  <si>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</si>
  <si>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</si>
  <si>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</si>
  <si>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</si>
  <si>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</si>
  <si>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</si>
  <si>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</si>
  <si>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</si>
  <si>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</si>
  <si>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</si>
  <si>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</si>
  <si>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</si>
  <si>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</si>
  <si>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</si>
  <si>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</si>
  <si>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</si>
  <si>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</si>
  <si>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</si>
  <si>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</si>
  <si>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</si>
  <si>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</si>
  <si>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</si>
  <si>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</si>
  <si>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</si>
  <si>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</si>
  <si>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</si>
  <si>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</si>
  <si>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</si>
  <si>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</si>
  <si>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</si>
  <si>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</si>
  <si>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</si>
  <si>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</si>
  <si>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</si>
  <si>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</si>
  <si>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</si>
  <si>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</si>
  <si>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</si>
  <si>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</si>
  <si>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</si>
  <si>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</si>
  <si>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</si>
  <si>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</si>
  <si>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</si>
  <si>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</si>
  <si>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</si>
  <si>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</si>
  <si>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</si>
  <si>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</si>
  <si>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</si>
  <si>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</si>
  <si>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</si>
  <si>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</si>
  <si>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</si>
  <si>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</si>
  <si>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</si>
  <si>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</si>
  <si>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</si>
  <si>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</si>
  <si>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</si>
  <si>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</si>
  <si>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</si>
  <si>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</si>
  <si>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</si>
  <si>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</si>
  <si>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</si>
  <si>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</si>
  <si>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</si>
  <si>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</si>
  <si>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</si>
  <si>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</si>
  <si>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</si>
  <si>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</si>
  <si>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</si>
  <si>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</si>
  <si>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</si>
  <si>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</si>
  <si>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</si>
  <si>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</si>
  <si>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</si>
  <si>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</si>
  <si>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</si>
  <si>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</si>
  <si>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</si>
  <si>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</si>
  <si>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</si>
  <si>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</si>
  <si>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</si>
  <si>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</si>
  <si>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</si>
  <si>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</si>
  <si>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</si>
  <si>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</si>
  <si>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</si>
  <si>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</si>
  <si>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</si>
  <si>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</si>
  <si>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</si>
  <si>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</si>
  <si>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</si>
  <si>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</si>
  <si>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</si>
  <si>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</si>
  <si>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</si>
  <si>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</si>
  <si>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</si>
  <si>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</si>
  <si>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</si>
  <si>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</si>
  <si>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</si>
  <si>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</si>
  <si>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</si>
  <si>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</si>
  <si>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</si>
  <si>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</si>
  <si>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</si>
  <si>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</si>
  <si>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</si>
  <si>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</si>
  <si>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</si>
  <si>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</si>
  <si>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</si>
  <si>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</si>
  <si>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</si>
  <si>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</si>
  <si>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</si>
  <si>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</si>
  <si>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</si>
  <si>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</si>
  <si>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</si>
  <si>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</si>
  <si>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</si>
  <si>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</si>
  <si>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</si>
  <si>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</si>
  <si>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</si>
  <si>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</si>
  <si>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</si>
  <si>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</si>
  <si>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</si>
  <si>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</si>
  <si>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</si>
  <si>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</si>
  <si>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</si>
  <si>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</si>
  <si>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</si>
  <si>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</si>
  <si>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</si>
  <si>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</si>
  <si>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</si>
  <si>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</si>
  <si>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</si>
  <si>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</si>
  <si>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</si>
  <si>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</si>
  <si>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</si>
  <si>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</si>
  <si>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</si>
  <si>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</si>
  <si>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</si>
  <si>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</si>
  <si>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</si>
  <si>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</si>
  <si>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</si>
  <si>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</si>
  <si>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</si>
  <si>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</si>
  <si>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</si>
  <si>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</si>
  <si>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</si>
  <si>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</si>
  <si>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</si>
  <si>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</si>
  <si>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</si>
  <si>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</si>
  <si>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</si>
  <si>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</si>
  <si>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</si>
  <si>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</si>
  <si>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</si>
  <si>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</si>
  <si>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</si>
  <si>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</si>
  <si>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</si>
  <si>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</si>
  <si>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</si>
  <si>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</si>
  <si>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</si>
  <si>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</si>
  <si>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</si>
  <si>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</si>
  <si>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</si>
  <si>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</si>
  <si>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</si>
  <si>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</si>
  <si>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</si>
  <si>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</si>
  <si>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</si>
  <si>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</si>
  <si>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</si>
  <si>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</si>
  <si>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</si>
  <si>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</si>
  <si>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</si>
  <si>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</si>
  <si>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</si>
  <si>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</si>
  <si>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</si>
  <si>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</si>
  <si>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</si>
  <si>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</si>
  <si>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</si>
  <si>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</si>
  <si>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</si>
  <si>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</si>
  <si>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</si>
  <si>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</si>
  <si>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</si>
  <si>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</si>
  <si>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</si>
  <si>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</si>
  <si>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</si>
  <si>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</si>
  <si>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</si>
  <si>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</si>
  <si>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</si>
  <si>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</si>
  <si>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</si>
  <si>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</si>
  <si>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</si>
  <si>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</si>
  <si>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</si>
  <si>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</si>
  <si>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</si>
  <si>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</si>
  <si>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</si>
  <si>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</si>
  <si>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</si>
  <si>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</si>
  <si>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</si>
  <si>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</si>
  <si>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</si>
  <si>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</si>
  <si>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</si>
  <si>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</si>
  <si>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</si>
  <si>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</si>
  <si>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</si>
  <si>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</si>
  <si>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</si>
  <si>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</si>
  <si>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</si>
  <si>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</si>
  <si>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</si>
  <si>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</si>
  <si>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</si>
  <si>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</si>
  <si>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</si>
  <si>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</si>
  <si>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</si>
  <si>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</si>
  <si>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</si>
  <si>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</si>
  <si>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</si>
  <si>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</si>
  <si>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</si>
  <si>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</si>
  <si>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</si>
  <si>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</si>
  <si>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</si>
  <si>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</si>
  <si>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</si>
  <si>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</si>
  <si>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</si>
  <si>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</si>
  <si>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</si>
  <si>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</si>
  <si>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</si>
  <si>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</si>
  <si>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</si>
  <si>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</si>
  <si>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</si>
  <si>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</si>
  <si>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</si>
  <si>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</si>
  <si>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</si>
  <si>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</si>
  <si>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</si>
  <si>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</si>
  <si>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</si>
  <si>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</si>
  <si>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</si>
  <si>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</si>
  <si>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</si>
  <si>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</si>
  <si>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</si>
  <si>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</si>
  <si>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</si>
  <si>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</si>
  <si>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</si>
  <si>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</si>
  <si>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</si>
  <si>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</si>
  <si>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</si>
  <si>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</si>
  <si>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</si>
  <si>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</si>
  <si>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</si>
  <si>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</si>
  <si>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</si>
  <si>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</si>
  <si>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</si>
  <si>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</si>
  <si>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</si>
  <si>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</si>
  <si>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</si>
  <si>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</si>
  <si>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</si>
  <si>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</si>
  <si>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</si>
  <si>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</si>
  <si>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</si>
  <si>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</si>
  <si>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</si>
  <si>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</si>
  <si>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</si>
  <si>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</si>
  <si>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</si>
  <si>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</si>
  <si>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</si>
  <si>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</si>
  <si>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</si>
  <si>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</si>
  <si>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</si>
  <si>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</si>
  <si>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</si>
  <si>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</si>
  <si>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</si>
  <si>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</si>
  <si>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</si>
  <si>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</si>
  <si>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</si>
  <si>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</si>
  <si>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</si>
  <si>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</si>
  <si>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</si>
  <si>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</si>
  <si>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</si>
  <si>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</si>
  <si>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</si>
  <si>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</si>
  <si>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</si>
  <si>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</si>
  <si>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</si>
  <si>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</si>
  <si>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</si>
  <si>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</si>
  <si>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</si>
  <si>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</si>
  <si>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</si>
  <si>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</si>
  <si>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</si>
  <si>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</si>
  <si>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</si>
  <si>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</si>
  <si>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</si>
  <si>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</si>
  <si>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</si>
  <si>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</si>
  <si>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</si>
  <si>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</si>
  <si>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</si>
  <si>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</si>
  <si>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</si>
  <si>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</si>
  <si>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</si>
  <si>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</si>
  <si>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</si>
  <si>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</si>
  <si>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</si>
  <si>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</si>
  <si>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</si>
  <si>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</si>
  <si>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</si>
  <si>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</si>
  <si>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</si>
  <si>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</si>
  <si>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</si>
  <si>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</si>
  <si>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</si>
  <si>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</si>
  <si>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</si>
  <si>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</si>
  <si>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</si>
  <si>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</si>
  <si>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</si>
  <si>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</si>
  <si>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</si>
  <si>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</si>
  <si>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</si>
  <si>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</si>
  <si>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</si>
  <si>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</si>
  <si>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</si>
  <si>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</si>
  <si>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</si>
  <si>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</si>
  <si>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</si>
  <si>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</si>
  <si>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</si>
  <si>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</si>
  <si>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</si>
  <si>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</si>
  <si>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</si>
  <si>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</si>
  <si>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</si>
  <si>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</si>
  <si>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</si>
  <si>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</si>
  <si>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</si>
  <si>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</si>
  <si>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</si>
  <si>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</si>
  <si>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</si>
  <si>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</si>
  <si>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</si>
  <si>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</si>
  <si>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</si>
  <si>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</si>
  <si>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</si>
  <si>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</si>
  <si>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</si>
  <si>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</si>
  <si>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</si>
  <si>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</si>
  <si>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</si>
  <si>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</si>
  <si>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</si>
  <si>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</si>
  <si>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</si>
  <si>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</si>
  <si>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</si>
  <si>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</si>
  <si>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</si>
  <si>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</si>
  <si>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</si>
  <si>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</si>
  <si>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</si>
  <si>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</si>
  <si>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</si>
  <si>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</si>
  <si>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</si>
  <si>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</si>
  <si>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</si>
  <si>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</si>
  <si>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</si>
  <si>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</si>
  <si>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</si>
  <si>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</si>
  <si>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</si>
  <si>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</si>
  <si>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</si>
  <si>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</si>
  <si>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</si>
  <si>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</si>
  <si>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</si>
  <si>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</si>
  <si>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</si>
  <si>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</si>
  <si>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</si>
  <si>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</si>
  <si>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</si>
  <si>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</si>
  <si>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</si>
  <si>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</si>
  <si>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</si>
  <si>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</si>
  <si>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</si>
  <si>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</si>
  <si>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</si>
  <si>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</si>
  <si>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</si>
  <si>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</si>
  <si>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</si>
  <si>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</si>
  <si>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</si>
  <si>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</si>
  <si>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</si>
  <si>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</si>
  <si>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</si>
  <si>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</si>
  <si>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</si>
  <si>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</si>
  <si>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</si>
  <si>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</si>
  <si>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</si>
  <si>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</si>
  <si>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</si>
  <si>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</si>
  <si>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</si>
  <si>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</si>
  <si>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</si>
  <si>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</si>
  <si>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</si>
  <si>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</si>
  <si>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</si>
  <si>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</si>
  <si>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</si>
  <si>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</si>
  <si>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</si>
  <si>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</si>
  <si>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</si>
  <si>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</si>
  <si>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</si>
  <si>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</si>
  <si>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</si>
  <si>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</si>
  <si>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</si>
  <si>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</si>
  <si>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</si>
  <si>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</si>
  <si>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</si>
  <si>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</si>
  <si>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</si>
  <si>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</si>
  <si>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</si>
  <si>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</si>
  <si>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</si>
  <si>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</si>
  <si>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</si>
  <si>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</si>
  <si>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</si>
  <si>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</si>
  <si>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</si>
  <si>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</si>
  <si>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</si>
  <si>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</si>
  <si>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</si>
  <si>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</si>
  <si>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</si>
  <si>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</si>
  <si>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</si>
  <si>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</si>
  <si>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</si>
  <si>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</si>
  <si>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</si>
  <si>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</si>
  <si>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</si>
  <si>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</si>
  <si>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</si>
  <si>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</si>
  <si>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</si>
  <si>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</si>
  <si>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</si>
  <si>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</si>
  <si>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</si>
  <si>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</si>
  <si>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</si>
  <si>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</si>
  <si>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</si>
  <si>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</si>
  <si>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</si>
  <si>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</si>
  <si>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</si>
  <si>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</si>
  <si>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</si>
  <si>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</si>
  <si>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</si>
  <si>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</si>
  <si>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</si>
  <si>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</si>
  <si>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</si>
  <si>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</si>
  <si>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</si>
  <si>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</si>
  <si>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</si>
  <si>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</si>
  <si>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</si>
  <si>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</si>
  <si>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</si>
  <si>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</si>
  <si>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</si>
  <si>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</si>
  <si>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</si>
  <si>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</si>
  <si>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</si>
  <si>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</si>
  <si>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</si>
  <si>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</si>
  <si>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</si>
  <si>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</si>
  <si>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</si>
  <si>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</si>
  <si>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</si>
  <si>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</si>
  <si>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</si>
  <si>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</si>
  <si>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</si>
  <si>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</si>
  <si>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</si>
  <si>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</si>
  <si>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</si>
  <si>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</si>
  <si>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</si>
  <si>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</si>
  <si>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</si>
  <si>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</si>
  <si>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</si>
  <si>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</si>
  <si>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</si>
  <si>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</si>
  <si>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</si>
  <si>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</si>
  <si>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</si>
  <si>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</si>
  <si>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</si>
  <si>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</si>
  <si>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</si>
  <si>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</si>
  <si>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</si>
  <si>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</si>
  <si>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</si>
  <si>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</si>
  <si>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</si>
  <si>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</si>
  <si>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</si>
  <si>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</si>
  <si>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</si>
  <si>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</si>
  <si>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</si>
  <si>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</si>
  <si>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</si>
  <si>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</si>
  <si>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</si>
  <si>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</si>
  <si>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</si>
  <si>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</si>
  <si>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</si>
  <si>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</si>
  <si>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</si>
  <si>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</si>
  <si>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</si>
  <si>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</si>
  <si>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</si>
  <si>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</si>
  <si>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</si>
  <si>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</si>
  <si>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</si>
  <si>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</si>
  <si>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</si>
  <si>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</si>
  <si>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</si>
  <si>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</si>
  <si>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</si>
  <si>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</si>
  <si>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</si>
  <si>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</si>
  <si>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</si>
  <si>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</si>
  <si>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</si>
  <si>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</si>
  <si>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</si>
  <si>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</si>
  <si>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</si>
  <si>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</si>
  <si>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</si>
  <si>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</si>
  <si>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</si>
  <si>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</si>
  <si>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</si>
  <si>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</si>
  <si>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</si>
  <si>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</si>
  <si>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</si>
  <si>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</si>
  <si>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</si>
  <si>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</si>
  <si>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</si>
  <si>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</si>
  <si>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</si>
  <si>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</si>
  <si>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</si>
  <si>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</si>
  <si>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</si>
  <si>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</si>
  <si>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</si>
  <si>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</si>
  <si>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</si>
  <si>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</si>
  <si>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</si>
  <si>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</si>
  <si>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</si>
  <si>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</si>
  <si>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</si>
  <si>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</si>
  <si>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</si>
  <si>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</si>
  <si>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</si>
  <si>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</si>
  <si>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</si>
  <si>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</si>
  <si>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</si>
  <si>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</si>
  <si>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</si>
  <si>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</si>
  <si>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</si>
  <si>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</si>
  <si>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</si>
  <si>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</si>
  <si>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</si>
  <si>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</si>
  <si>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</si>
  <si>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</si>
  <si>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</si>
  <si>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</si>
  <si>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</si>
  <si>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</si>
  <si>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</si>
  <si>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</si>
  <si>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</si>
  <si>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</si>
  <si>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</si>
  <si>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</si>
  <si>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</si>
  <si>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</si>
  <si>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</si>
  <si>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</si>
  <si>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</si>
  <si>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</si>
  <si>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</si>
  <si>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</si>
  <si>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</si>
  <si>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</si>
  <si>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</si>
  <si>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</si>
  <si>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</si>
  <si>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</si>
  <si>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</si>
  <si>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</si>
  <si>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</si>
  <si>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</si>
  <si>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</si>
  <si>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</si>
  <si>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</si>
  <si>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</si>
  <si>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</si>
  <si>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</si>
  <si>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</si>
  <si>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</si>
  <si>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</si>
  <si>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</si>
  <si>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</si>
  <si>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</si>
  <si>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</si>
  <si>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</si>
  <si>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</si>
  <si>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</si>
  <si>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</si>
  <si>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</si>
  <si>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</si>
  <si>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</si>
  <si>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</si>
  <si>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</si>
  <si>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</si>
  <si>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</si>
  <si>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</si>
  <si>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</si>
  <si>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</si>
  <si>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</si>
  <si>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</si>
  <si>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</si>
  <si>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</si>
  <si>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</si>
  <si>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</si>
  <si>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</si>
  <si>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</si>
  <si>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</si>
  <si>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</si>
  <si>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</si>
  <si>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</si>
  <si>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</si>
  <si>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</si>
  <si>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</si>
  <si>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</si>
  <si>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</si>
  <si>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</si>
  <si>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</si>
  <si>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</si>
  <si>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</si>
  <si>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</si>
  <si>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</si>
  <si>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</si>
  <si>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</si>
  <si>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</si>
  <si>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</si>
  <si>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</si>
  <si>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</si>
  <si>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</si>
  <si>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</si>
  <si>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</si>
  <si>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</si>
  <si>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</si>
  <si>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</si>
  <si>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</si>
  <si>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</si>
  <si>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</si>
  <si>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</si>
  <si>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</si>
  <si>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</si>
  <si>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</si>
  <si>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</si>
  <si>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</si>
  <si>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</si>
  <si>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</si>
  <si>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</si>
  <si>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</si>
  <si>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</si>
  <si>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</si>
  <si>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</si>
  <si>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</si>
  <si>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</si>
  <si>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</si>
  <si>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</si>
  <si>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</si>
  <si>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</si>
  <si>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</si>
  <si>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</si>
  <si>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</si>
  <si>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</si>
  <si>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</si>
  <si>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</si>
  <si>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</si>
  <si>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</si>
  <si>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</si>
  <si>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</si>
  <si>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</si>
  <si>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</si>
  <si>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</si>
  <si>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</si>
  <si>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</si>
  <si>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</si>
  <si>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</si>
  <si>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</si>
  <si>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</si>
  <si>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</si>
  <si>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</si>
  <si>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</si>
  <si>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</si>
  <si>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</si>
  <si>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</si>
  <si>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</si>
  <si>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</si>
  <si>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</si>
  <si>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</si>
  <si>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</si>
  <si>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</si>
  <si>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</si>
  <si>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</si>
  <si>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</si>
  <si>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</si>
  <si>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</si>
  <si>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</si>
  <si>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</si>
  <si>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</si>
  <si>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</si>
  <si>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</si>
  <si>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</si>
  <si>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</si>
  <si>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</si>
  <si>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</si>
  <si>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</si>
  <si>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</si>
  <si>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</si>
  <si>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</si>
  <si>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</si>
  <si>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</si>
  <si>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</si>
  <si>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</si>
  <si>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</si>
  <si>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</si>
  <si>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</si>
  <si>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</si>
  <si>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</si>
  <si>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</si>
  <si>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</si>
  <si>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</si>
  <si>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</si>
  <si>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</si>
  <si>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</si>
  <si>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</si>
  <si>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</si>
  <si>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</si>
  <si>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</si>
  <si>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</si>
  <si>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</si>
  <si>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</si>
  <si>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</si>
  <si>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</si>
  <si>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</si>
  <si>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</si>
  <si>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</si>
  <si>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</si>
  <si>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</si>
  <si>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</si>
  <si>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</si>
  <si>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</si>
  <si>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</si>
  <si>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</si>
  <si>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</si>
  <si>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</si>
  <si>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</si>
  <si>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</si>
  <si>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</si>
  <si>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</si>
  <si>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</si>
  <si>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</si>
  <si>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</si>
  <si>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</si>
  <si>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</si>
  <si>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</si>
  <si>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</si>
  <si>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</si>
  <si>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</si>
  <si>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</si>
  <si>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</si>
  <si>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</si>
  <si>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</si>
  <si>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</si>
  <si>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</si>
  <si>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</si>
  <si>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</si>
  <si>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</si>
  <si>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</si>
  <si>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</si>
  <si>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</si>
  <si>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</si>
  <si>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</si>
  <si>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</si>
  <si>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</si>
  <si>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</si>
  <si>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</si>
  <si>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</si>
  <si>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</si>
  <si>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</si>
  <si>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</si>
  <si>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</si>
  <si>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</si>
  <si>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</si>
  <si>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</si>
  <si>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</si>
  <si>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</si>
  <si>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</si>
  <si>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</si>
  <si>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</si>
  <si>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</si>
  <si>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</si>
  <si>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</si>
  <si>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</si>
  <si>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</si>
  <si>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</si>
  <si>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</si>
  <si>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</si>
  <si>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</si>
  <si>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</si>
  <si>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</si>
  <si>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</si>
  <si>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</si>
  <si>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</si>
  <si>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</si>
  <si>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</si>
  <si>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</si>
  <si>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</si>
  <si>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</si>
  <si>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</si>
  <si>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</si>
  <si>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</si>
  <si>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</si>
  <si>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</si>
  <si>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</si>
  <si>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</si>
  <si>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</si>
  <si>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</si>
  <si>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</si>
  <si>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</si>
  <si>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</si>
  <si>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</si>
  <si>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</si>
  <si>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</si>
  <si>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</si>
  <si>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</si>
  <si>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</si>
  <si>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</si>
  <si>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</si>
  <si>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</si>
  <si>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</si>
  <si>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</si>
  <si>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</si>
  <si>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</si>
  <si>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</si>
  <si>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</si>
  <si>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</si>
  <si>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</si>
  <si>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</si>
  <si>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</si>
  <si>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</si>
  <si>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</si>
  <si>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</si>
  <si>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</si>
  <si>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</si>
  <si>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</si>
  <si>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</si>
  <si>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</si>
  <si>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</si>
  <si>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</si>
  <si>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</si>
  <si>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</si>
  <si>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</si>
  <si>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</si>
  <si>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</si>
  <si>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</si>
  <si>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</si>
  <si>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</si>
  <si>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</si>
  <si>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</si>
  <si>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</si>
  <si>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</si>
  <si>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</si>
  <si>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</si>
  <si>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</si>
  <si>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</si>
  <si>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</si>
  <si>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</si>
  <si>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</si>
  <si>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</si>
  <si>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</si>
  <si>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</si>
  <si>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</si>
  <si>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</si>
  <si>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</si>
  <si>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</si>
  <si>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</si>
  <si>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</si>
  <si>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</si>
  <si>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</si>
  <si>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</si>
  <si>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</si>
  <si>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</si>
  <si>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</si>
  <si>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</si>
  <si>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</si>
  <si>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</si>
  <si>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</si>
  <si>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</si>
  <si>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</si>
  <si>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</si>
  <si>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</si>
  <si>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</si>
  <si>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</si>
  <si>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</si>
  <si>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</si>
  <si>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</si>
  <si>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</si>
  <si>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</si>
  <si>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</si>
  <si>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</si>
  <si>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</si>
  <si>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</si>
  <si>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</si>
  <si>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</si>
  <si>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</si>
  <si>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</si>
  <si>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</si>
  <si>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</si>
  <si>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</si>
  <si>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</si>
  <si>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</si>
  <si>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</si>
  <si>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</si>
  <si>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</si>
  <si>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</si>
  <si>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</si>
  <si>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</si>
  <si>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</si>
  <si>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</si>
  <si>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</si>
  <si>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</si>
  <si>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</si>
  <si>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</si>
  <si>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</si>
  <si>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</si>
  <si>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</si>
  <si>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</si>
  <si>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</si>
  <si>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</si>
  <si>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</si>
  <si>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</si>
  <si>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</si>
  <si>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</si>
  <si>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</si>
  <si>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</si>
  <si>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</si>
  <si>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</si>
  <si>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</si>
  <si>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</si>
  <si>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</si>
  <si>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</si>
  <si>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</si>
  <si>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</si>
  <si>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</si>
  <si>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</si>
  <si>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</si>
  <si>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</si>
  <si>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</si>
  <si>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</si>
  <si>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</si>
  <si>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</si>
  <si>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</si>
  <si>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</si>
  <si>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</si>
  <si>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</si>
  <si>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</si>
  <si>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</si>
  <si>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</si>
  <si>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</si>
  <si>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</si>
  <si>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</si>
  <si>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</si>
  <si>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</si>
  <si>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</si>
  <si>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</si>
  <si>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</si>
  <si>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</si>
  <si>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</si>
  <si>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</si>
  <si>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</si>
  <si>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</si>
  <si>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</si>
  <si>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</si>
  <si>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</si>
  <si>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</si>
  <si>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</si>
  <si>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</si>
  <si>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</si>
  <si>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</si>
  <si>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</si>
  <si>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</si>
  <si>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</si>
  <si>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</si>
  <si>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</si>
  <si>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</si>
  <si>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</si>
  <si>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</si>
  <si>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</si>
  <si>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</si>
  <si>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</si>
  <si>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</si>
  <si>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</si>
  <si>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</si>
  <si>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</si>
  <si>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</si>
  <si>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</si>
  <si>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</si>
  <si>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</si>
  <si>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</si>
  <si>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</si>
  <si>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</si>
  <si>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</si>
  <si>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</si>
  <si>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</si>
  <si>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</si>
  <si>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</si>
  <si>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</si>
  <si>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</si>
  <si>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</si>
  <si>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</si>
  <si>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</si>
  <si>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</si>
  <si>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</si>
  <si>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</si>
  <si>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</si>
  <si>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</si>
  <si>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</si>
  <si>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</si>
  <si>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</si>
  <si>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</si>
  <si>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</si>
  <si>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</si>
  <si>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</si>
  <si>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</si>
  <si>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</si>
  <si>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</si>
  <si>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</si>
  <si>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</si>
  <si>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</si>
  <si>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</si>
  <si>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</si>
  <si>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</si>
  <si>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</si>
  <si>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</si>
  <si>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</si>
  <si>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</si>
  <si>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</si>
  <si>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</si>
  <si>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</si>
  <si>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</si>
  <si>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</si>
  <si>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</si>
  <si>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</si>
  <si>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</si>
  <si>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</si>
  <si>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</si>
  <si>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</si>
  <si>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</si>
  <si>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</si>
  <si>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</si>
  <si>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</si>
  <si>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</si>
  <si>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</si>
  <si>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</si>
  <si>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</si>
  <si>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</si>
  <si>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</si>
  <si>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</si>
  <si>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</si>
  <si>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</si>
  <si>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</si>
  <si>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</si>
  <si>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</si>
  <si>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</si>
  <si>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</si>
  <si>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</si>
  <si>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</si>
  <si>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</si>
  <si>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</si>
  <si>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</si>
  <si>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</si>
  <si>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</si>
  <si>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</si>
  <si>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</si>
  <si>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</si>
  <si>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</si>
  <si>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</si>
  <si>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</si>
  <si>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</si>
  <si>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</si>
  <si>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</si>
  <si>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</si>
  <si>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</si>
  <si>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</si>
  <si>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</si>
  <si>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</si>
  <si>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</si>
  <si>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</si>
  <si>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</si>
  <si>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</si>
  <si>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</si>
  <si>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</si>
  <si>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</si>
  <si>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</si>
  <si>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</si>
  <si>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</si>
  <si>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</si>
  <si>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</si>
  <si>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</si>
  <si>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</si>
  <si>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</si>
  <si>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</si>
  <si>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</si>
  <si>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</si>
  <si>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</si>
  <si>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</si>
  <si>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</si>
  <si>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</si>
  <si>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</si>
  <si>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</si>
  <si>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</si>
  <si>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</si>
  <si>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</si>
  <si>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</si>
  <si>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</si>
  <si>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</si>
  <si>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</si>
  <si>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</si>
  <si>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</si>
  <si>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</si>
  <si>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</si>
  <si>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</si>
  <si>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</si>
  <si>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</si>
  <si>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</si>
  <si>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</si>
  <si>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</si>
  <si>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</si>
  <si>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</si>
  <si>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</si>
  <si>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</si>
  <si>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</si>
  <si>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</si>
  <si>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</si>
  <si>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</si>
  <si>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</si>
  <si>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</si>
  <si>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</si>
  <si>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</si>
  <si>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</si>
  <si>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</si>
  <si>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</si>
  <si>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</si>
  <si>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</si>
  <si>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</si>
  <si>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</si>
  <si>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</si>
  <si>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</si>
  <si>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</si>
  <si>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</si>
  <si>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</si>
  <si>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</si>
  <si>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</si>
  <si>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</si>
  <si>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</si>
  <si>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</si>
  <si>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</si>
  <si>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</si>
  <si>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</si>
  <si>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</si>
  <si>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</si>
  <si>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</si>
  <si>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</si>
  <si>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</si>
  <si>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</si>
  <si>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</si>
  <si>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</si>
  <si>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</si>
  <si>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</si>
  <si>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</si>
  <si>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</si>
  <si>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</si>
  <si>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</si>
  <si>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</si>
  <si>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</si>
  <si>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</si>
  <si>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</si>
  <si>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</si>
  <si>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</si>
  <si>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</si>
  <si>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</si>
  <si>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</si>
  <si>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</si>
  <si>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</si>
  <si>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</si>
  <si>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</si>
  <si>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</si>
  <si>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</si>
  <si>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</si>
  <si>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</si>
  <si>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</si>
  <si>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</si>
  <si>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</si>
  <si>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</si>
  <si>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</si>
  <si>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</si>
  <si>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</si>
  <si>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</si>
  <si>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</si>
  <si>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</si>
  <si>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</si>
  <si>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</si>
  <si>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</si>
  <si>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</si>
  <si>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</si>
  <si>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</si>
  <si>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</si>
  <si>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</si>
  <si>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</si>
  <si>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</si>
  <si>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</si>
  <si>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</si>
  <si>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</si>
  <si>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</si>
  <si>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</si>
  <si>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</si>
  <si>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</si>
  <si>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</si>
  <si>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</si>
  <si>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</si>
  <si>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</si>
  <si>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</si>
  <si>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</si>
  <si>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</si>
  <si>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</si>
  <si>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</si>
  <si>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</si>
  <si>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</si>
  <si>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</si>
  <si>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</si>
  <si>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</si>
  <si>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</si>
  <si>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</si>
  <si>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</si>
  <si>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</si>
  <si>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</si>
  <si>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</si>
  <si>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</si>
  <si>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</si>
  <si>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</si>
  <si>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</si>
  <si>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</si>
  <si>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</si>
  <si>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</si>
  <si>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</si>
  <si>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</si>
  <si>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</si>
  <si>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</si>
  <si>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</si>
  <si>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</si>
  <si>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</si>
  <si>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</si>
  <si>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</si>
  <si>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</si>
  <si>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</si>
  <si>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</si>
  <si>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</si>
  <si>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</si>
  <si>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</si>
  <si>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</si>
  <si>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</si>
  <si>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</si>
  <si>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</si>
  <si>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</si>
  <si>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</si>
  <si>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</si>
  <si>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</si>
  <si>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</si>
  <si>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</si>
  <si>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</si>
  <si>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</si>
  <si>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</si>
  <si>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</si>
  <si>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</si>
  <si>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</si>
  <si>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</si>
  <si>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</si>
  <si>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</si>
  <si>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</si>
  <si>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</si>
  <si>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</si>
  <si>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</si>
  <si>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</si>
  <si>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</si>
  <si>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</si>
  <si>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</si>
  <si>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</si>
  <si>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</si>
  <si>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</si>
  <si>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</si>
  <si>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</si>
  <si>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</si>
  <si>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</si>
  <si>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</si>
  <si>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</si>
  <si>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</si>
  <si>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</si>
  <si>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</si>
  <si>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</si>
  <si>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</si>
  <si>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</si>
  <si>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</si>
  <si>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</si>
  <si>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</si>
  <si>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</si>
  <si>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</si>
  <si>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</si>
  <si>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</si>
  <si>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</si>
  <si>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</si>
  <si>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</si>
  <si>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</si>
  <si>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</si>
  <si>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</si>
  <si>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</si>
  <si>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</si>
  <si>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</si>
  <si>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</si>
  <si>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</si>
  <si>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</si>
  <si>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</si>
  <si>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</si>
  <si>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</si>
  <si>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</si>
  <si>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</si>
  <si>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</si>
  <si>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</si>
  <si>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</si>
  <si>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</si>
  <si>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</si>
  <si>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</si>
  <si>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</si>
  <si>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</si>
  <si>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</si>
  <si>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</si>
  <si>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</si>
  <si>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</si>
  <si>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</si>
  <si>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</si>
  <si>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</si>
  <si>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</si>
  <si>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</si>
  <si>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</si>
  <si>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</si>
  <si>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</si>
  <si>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</si>
  <si>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</si>
  <si>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</si>
  <si>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</si>
  <si>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</si>
  <si>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</si>
  <si>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</si>
  <si>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</si>
  <si>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</si>
  <si>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</si>
  <si>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</si>
  <si>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</si>
  <si>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</si>
  <si>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</si>
  <si>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</si>
  <si>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</si>
  <si>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</si>
  <si>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</si>
  <si>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</si>
  <si>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</si>
  <si>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</si>
  <si>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</si>
  <si>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</si>
  <si>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</si>
  <si>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</si>
  <si>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</si>
  <si>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</si>
  <si>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</si>
  <si>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</si>
  <si>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</si>
  <si>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</si>
  <si>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</si>
  <si>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</si>
  <si>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</si>
  <si>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</si>
  <si>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</si>
  <si>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</si>
  <si>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</si>
  <si>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</si>
  <si>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</si>
  <si>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</si>
  <si>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</si>
  <si>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</si>
  <si>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</si>
  <si>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</si>
  <si>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</si>
  <si>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</si>
  <si>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</si>
  <si>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</si>
  <si>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</si>
  <si>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</si>
  <si>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</si>
  <si>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</si>
  <si>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</si>
  <si>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</si>
  <si>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</si>
  <si>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</si>
  <si>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</si>
  <si>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</si>
  <si>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</si>
  <si>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</si>
  <si>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</si>
  <si>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</si>
  <si>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</si>
  <si>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</si>
  <si>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</si>
  <si>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</si>
  <si>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</si>
  <si>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</si>
  <si>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</si>
  <si>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</si>
  <si>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</si>
  <si>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</si>
  <si>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</si>
  <si>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</si>
  <si>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</si>
  <si>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</si>
  <si>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</si>
  <si>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</si>
  <si>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</si>
  <si>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</si>
  <si>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</si>
  <si>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</si>
  <si>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</si>
  <si>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</si>
  <si>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</si>
  <si>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</si>
  <si>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</si>
  <si>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</si>
  <si>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</si>
  <si>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</si>
  <si>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</si>
  <si>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</si>
  <si>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</si>
  <si>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</si>
  <si>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</si>
  <si>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</si>
  <si>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</si>
  <si>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</si>
  <si>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</si>
  <si>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</si>
  <si>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</si>
  <si>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</si>
  <si>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</si>
  <si>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</si>
  <si>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</si>
  <si>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</si>
  <si>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</si>
  <si>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</si>
  <si>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</si>
  <si>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</si>
  <si>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</si>
  <si>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</si>
  <si>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</si>
  <si>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</si>
  <si>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</si>
  <si>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</si>
  <si>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</si>
  <si>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</si>
  <si>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</si>
  <si>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</si>
  <si>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</si>
  <si>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</si>
  <si>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</si>
  <si>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</si>
  <si>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</si>
  <si>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</si>
  <si>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</si>
  <si>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</si>
  <si>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</si>
  <si>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</si>
  <si>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</si>
  <si>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</si>
  <si>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</si>
  <si>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</si>
  <si>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</si>
  <si>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</si>
  <si>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</si>
  <si>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</si>
  <si>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</si>
  <si>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</si>
  <si>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</si>
  <si>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</si>
  <si>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</si>
  <si>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</si>
  <si>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</si>
  <si>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</si>
  <si>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</si>
  <si>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</si>
  <si>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</si>
  <si>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</si>
  <si>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</si>
  <si>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</si>
  <si>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</si>
  <si>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</si>
  <si>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</si>
  <si>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</si>
  <si>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</si>
  <si>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</si>
  <si>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</si>
  <si>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</si>
  <si>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</si>
  <si>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</si>
  <si>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</si>
  <si>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</si>
  <si>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</si>
  <si>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</si>
  <si>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</si>
  <si>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</si>
  <si>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</si>
  <si>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</si>
  <si>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</si>
  <si>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</si>
  <si>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</si>
  <si>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</si>
  <si>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</si>
  <si>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</si>
  <si>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</si>
  <si>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</si>
  <si>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</si>
  <si>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</si>
  <si>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</si>
  <si>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</si>
  <si>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</si>
  <si>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</si>
  <si>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</si>
  <si>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</si>
  <si>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</si>
  <si>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</si>
  <si>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</si>
  <si>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</si>
  <si>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</si>
  <si>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</si>
  <si>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</si>
  <si>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</si>
  <si>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</si>
  <si>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</si>
  <si>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</si>
  <si>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</si>
  <si>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</si>
  <si>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</si>
  <si>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</si>
  <si>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</si>
  <si>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</si>
  <si>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</si>
  <si>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</si>
  <si>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</si>
  <si>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</si>
  <si>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</si>
  <si>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</si>
  <si>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</si>
  <si>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</si>
  <si>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</si>
  <si>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</si>
  <si>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</si>
  <si>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</si>
  <si>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</si>
  <si>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</si>
  <si>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</si>
  <si>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</si>
  <si>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</si>
  <si>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</si>
  <si>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</si>
  <si>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</si>
  <si>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</si>
  <si>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</si>
  <si>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</si>
  <si>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</si>
  <si>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</si>
  <si>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</si>
  <si>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</si>
  <si>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</si>
  <si>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</si>
  <si>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</si>
  <si>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</si>
  <si>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</si>
  <si>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</si>
  <si>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</si>
  <si>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</si>
  <si>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</si>
  <si>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</si>
  <si>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</si>
  <si>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</si>
  <si>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</si>
  <si>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</si>
  <si>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</si>
  <si>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</si>
  <si>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</si>
  <si>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</si>
  <si>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</si>
  <si>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</si>
  <si>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</si>
  <si>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</si>
  <si>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</si>
  <si>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</si>
  <si>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</si>
  <si>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</si>
  <si>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</si>
  <si>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</si>
  <si>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</si>
  <si>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</si>
  <si>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</si>
  <si>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</si>
  <si>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</si>
  <si>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</si>
  <si>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</si>
  <si>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</si>
  <si>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</si>
  <si>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</si>
  <si>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</si>
  <si>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</si>
  <si>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</si>
  <si>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</si>
  <si>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</si>
  <si>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</si>
  <si>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</si>
  <si>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</si>
  <si>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</si>
  <si>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</si>
  <si>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</si>
  <si>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</si>
  <si>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</si>
  <si>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</si>
  <si>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</si>
  <si>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</si>
  <si>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</si>
  <si>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</si>
  <si>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</si>
  <si>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</si>
  <si>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</si>
  <si>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</si>
  <si>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</si>
  <si>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</si>
  <si>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</si>
  <si>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</si>
  <si>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</si>
  <si>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</si>
  <si>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</si>
  <si>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</si>
  <si>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</si>
  <si>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</si>
  <si>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</si>
  <si>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</si>
  <si>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</si>
  <si>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</si>
  <si>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</si>
  <si>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</si>
  <si>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</si>
  <si>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</si>
  <si>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</si>
  <si>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</si>
  <si>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</si>
  <si>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</si>
  <si>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</si>
  <si>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</si>
  <si>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</si>
  <si>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</si>
  <si>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</si>
  <si>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</si>
  <si>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</si>
  <si>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</si>
  <si>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</si>
  <si>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</si>
  <si>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</si>
  <si>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</si>
  <si>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</si>
  <si>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</si>
  <si>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</si>
  <si>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</si>
  <si>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</si>
  <si>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</si>
  <si>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</si>
  <si>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</si>
  <si>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</si>
  <si>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</si>
  <si>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</si>
  <si>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</si>
  <si>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</si>
  <si>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</si>
  <si>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</si>
  <si>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</si>
  <si>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</si>
  <si>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</si>
  <si>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</si>
  <si>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</si>
  <si>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</si>
  <si>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</si>
  <si>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</si>
  <si>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</si>
  <si>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</si>
  <si>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</si>
  <si>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</si>
  <si>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</si>
  <si>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</si>
  <si>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</si>
  <si>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</si>
  <si>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</si>
  <si>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</si>
  <si>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</si>
  <si>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</si>
  <si>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</si>
  <si>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</si>
  <si>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</si>
  <si>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</si>
  <si>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</si>
  <si>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</si>
  <si>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</si>
  <si>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</si>
  <si>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</si>
  <si>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</si>
  <si>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</si>
  <si>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</si>
  <si>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</si>
  <si>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</si>
  <si>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</si>
  <si>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</si>
  <si>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</si>
  <si>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</si>
  <si>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</si>
  <si>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</si>
  <si>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</si>
  <si>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</si>
  <si>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</si>
  <si>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</si>
  <si>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</si>
  <si>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</si>
  <si>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</si>
  <si>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</si>
  <si>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</si>
  <si>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</si>
  <si>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</si>
  <si>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</si>
  <si>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</si>
  <si>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</si>
  <si>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</si>
  <si>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</si>
  <si>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</si>
  <si>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</si>
  <si>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</si>
  <si>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</si>
  <si>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</si>
  <si>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</si>
  <si>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</si>
  <si>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</si>
  <si>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</si>
  <si>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</si>
  <si>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</si>
  <si>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</si>
  <si>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</si>
  <si>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</si>
  <si>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</si>
  <si>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</si>
  <si>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</si>
  <si>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</si>
  <si>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</si>
  <si>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</si>
  <si>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</si>
  <si>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</si>
  <si>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</si>
  <si>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</si>
  <si>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</si>
  <si>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</si>
  <si>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</si>
  <si>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</si>
  <si>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</si>
  <si>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</si>
  <si>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</si>
  <si>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</si>
  <si>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</si>
  <si>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</si>
  <si>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</si>
  <si>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</si>
  <si>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</si>
  <si>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</si>
  <si>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</si>
  <si>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</si>
  <si>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</si>
  <si>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</si>
  <si>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</si>
  <si>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</si>
  <si>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</si>
  <si>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</si>
  <si>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</si>
  <si>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</si>
  <si>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</si>
  <si>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</si>
  <si>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</si>
  <si>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</si>
  <si>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</si>
  <si>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</si>
  <si>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</si>
  <si>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</si>
  <si>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</si>
  <si>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</si>
  <si>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</si>
  <si>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</si>
  <si>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</si>
  <si>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</si>
  <si>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</si>
  <si>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</si>
  <si>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</si>
  <si>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</si>
  <si>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</si>
  <si>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</si>
  <si>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</si>
  <si>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</si>
  <si>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</si>
  <si>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</si>
  <si>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</si>
  <si>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</si>
  <si>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</si>
  <si>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</si>
  <si>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</si>
  <si>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</si>
  <si>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</si>
  <si>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</si>
  <si>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</si>
  <si>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</si>
  <si>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</si>
  <si>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</si>
  <si>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</si>
  <si>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</si>
  <si>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</si>
  <si>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</si>
  <si>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</si>
  <si>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</si>
  <si>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</si>
  <si>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</si>
  <si>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</si>
  <si>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</si>
  <si>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</si>
  <si>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</si>
  <si>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</si>
  <si>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</si>
  <si>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</si>
  <si>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</si>
  <si>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</si>
  <si>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</si>
  <si>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</si>
  <si>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</si>
  <si>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</si>
  <si>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</si>
  <si>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</si>
  <si>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</si>
  <si>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</si>
  <si>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</si>
  <si>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</si>
  <si>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</si>
  <si>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</si>
  <si>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</si>
  <si>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</si>
  <si>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</si>
  <si>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</si>
  <si>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</si>
  <si>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</si>
  <si>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</si>
  <si>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</si>
  <si>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</si>
  <si>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</si>
  <si>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</si>
  <si>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</si>
  <si>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</si>
  <si>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</si>
  <si>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</si>
  <si>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</si>
  <si>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</si>
  <si>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</si>
  <si>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</si>
  <si>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</si>
  <si>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</si>
  <si>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</si>
  <si>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</si>
  <si>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</si>
  <si>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</si>
  <si>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</si>
  <si>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</si>
  <si>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</si>
  <si>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</si>
  <si>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</si>
  <si>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</si>
  <si>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</si>
  <si>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</si>
  <si>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</si>
  <si>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</si>
  <si>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</si>
  <si>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</si>
  <si>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</si>
  <si>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</si>
  <si>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</si>
  <si>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</si>
  <si>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</si>
  <si>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</si>
  <si>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</si>
  <si>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</si>
  <si>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</si>
  <si>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</si>
  <si>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</si>
  <si>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</si>
  <si>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</si>
  <si>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</si>
  <si>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</si>
  <si>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</si>
  <si>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</si>
  <si>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</si>
  <si>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</si>
  <si>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</si>
  <si>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</si>
  <si>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</si>
  <si>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</si>
  <si>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</si>
  <si>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</si>
  <si>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</si>
  <si>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</si>
  <si>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</si>
  <si>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</si>
  <si>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</si>
  <si>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</si>
  <si>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</si>
  <si>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</si>
  <si>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</si>
  <si>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</si>
  <si>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</si>
  <si>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</si>
  <si>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</si>
  <si>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</si>
  <si>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</si>
  <si>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</si>
  <si>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</si>
  <si>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</si>
  <si>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</si>
  <si>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</si>
  <si>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</si>
  <si>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</si>
  <si>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</si>
  <si>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</si>
  <si>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</si>
  <si>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</si>
  <si>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</si>
  <si>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</si>
  <si>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</si>
  <si>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</si>
  <si>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</si>
  <si>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</si>
  <si>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</si>
  <si>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</si>
  <si>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</si>
  <si>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</si>
  <si>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</si>
  <si>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</si>
  <si>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</si>
  <si>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</si>
  <si>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</si>
  <si>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</si>
  <si>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</si>
  <si>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</si>
  <si>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</si>
  <si>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</si>
  <si>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</si>
  <si>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</si>
  <si>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</si>
  <si>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</si>
  <si>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</si>
  <si>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</si>
  <si>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</si>
  <si>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</si>
  <si>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</si>
  <si>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</si>
  <si>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</si>
  <si>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</si>
  <si>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</si>
  <si>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</si>
  <si>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</si>
  <si>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</si>
  <si>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</si>
  <si>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</si>
  <si>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</si>
  <si>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</si>
  <si>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</si>
  <si>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</si>
  <si>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</si>
  <si>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</si>
  <si>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</si>
  <si>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</si>
  <si>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</si>
  <si>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</si>
  <si>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</si>
  <si>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</si>
  <si>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</si>
  <si>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</si>
  <si>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</si>
  <si>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</si>
  <si>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</si>
  <si>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</si>
  <si>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</si>
  <si>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</si>
  <si>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</si>
  <si>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</si>
  <si>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</si>
  <si>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</si>
  <si>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</si>
  <si>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</si>
  <si>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</si>
  <si>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</si>
  <si>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</si>
  <si>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</si>
  <si>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</si>
  <si>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</si>
  <si>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</si>
  <si>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</si>
  <si>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</si>
  <si>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</si>
  <si>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</si>
  <si>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</si>
  <si>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</si>
  <si>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</si>
  <si>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</si>
  <si>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</si>
  <si>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</si>
  <si>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</si>
  <si>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</si>
  <si>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</si>
  <si>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</si>
  <si>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</si>
  <si>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</si>
  <si>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</si>
  <si>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</si>
  <si>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</si>
  <si>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</si>
  <si>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</si>
  <si>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</si>
  <si>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</si>
  <si>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</si>
  <si>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</si>
  <si>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</si>
  <si>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</si>
  <si>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</si>
  <si>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</si>
  <si>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</si>
  <si>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</si>
  <si>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</si>
  <si>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</si>
  <si>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</si>
  <si>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</si>
  <si>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</si>
  <si>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</si>
  <si>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</si>
  <si>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</si>
  <si>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</si>
  <si>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</si>
  <si>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</si>
  <si>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</si>
  <si>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</si>
  <si>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</si>
  <si>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</si>
  <si>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</si>
  <si>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</si>
  <si>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</si>
  <si>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</si>
  <si>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</si>
  <si>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</si>
  <si>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</si>
  <si>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</si>
  <si>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</si>
  <si>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</si>
  <si>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</si>
  <si>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</si>
  <si>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</si>
  <si>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</si>
  <si>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</si>
  <si>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</si>
  <si>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</si>
  <si>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</si>
  <si>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</si>
  <si>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</si>
  <si>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</si>
  <si>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</si>
  <si>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</si>
  <si>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</si>
  <si>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</si>
  <si>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</si>
  <si>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</si>
  <si>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</si>
  <si>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</si>
  <si>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</si>
  <si>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</si>
  <si>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</si>
  <si>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</si>
  <si>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</si>
  <si>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</si>
  <si>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</si>
  <si>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</si>
  <si>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</si>
  <si>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</si>
  <si>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</si>
  <si>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</si>
  <si>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</si>
  <si>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</si>
  <si>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</si>
  <si>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</si>
  <si>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</si>
  <si>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</si>
  <si>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</si>
  <si>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</si>
  <si>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</si>
  <si>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</si>
  <si>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</si>
  <si>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</si>
  <si>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</si>
  <si>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</si>
  <si>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</si>
  <si>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</si>
  <si>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</si>
  <si>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</si>
  <si>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</si>
  <si>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</si>
  <si>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</si>
  <si>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</si>
  <si>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</si>
  <si>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</si>
  <si>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</si>
  <si>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</si>
  <si>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</si>
  <si>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</si>
  <si>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</si>
  <si>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</si>
  <si>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ایجاد شده تا 30/4/1398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</si>
  <si>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</si>
  <si>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</si>
  <si>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</si>
  <si>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</si>
  <si>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</si>
  <si>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</si>
  <si>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</si>
  <si>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</si>
  <si>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</si>
  <si>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</si>
  <si>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</si>
  <si>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</si>
  <si>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</si>
  <si>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</si>
  <si>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طلب علی از مهدی سهام  230207 تا وغدیر پرداخت 40425150 تومن سود شاراک و 15774850 تومن به وثوقی</t>
  </si>
  <si>
    <t>بدهی به مهدی بابت 69793 تا سهم وغدیر 1/5/1398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</si>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</sst>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zoomScaleNormal="100"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4929</v>
      </c>
      <c r="B1" s="99" t="s">
        <v>4930</v>
      </c>
      <c r="C1" s="99" t="s">
        <v>4931</v>
      </c>
      <c r="D1" s="99" t="s">
        <v>4932</v>
      </c>
      <c r="E1" s="99" t="s">
        <v>4942</v>
      </c>
      <c r="F1" s="99" t="s">
        <v>4941</v>
      </c>
      <c r="G1" s="99" t="s">
        <v>4272</v>
      </c>
      <c r="H1" s="69" t="s">
        <v>5054</v>
      </c>
      <c r="K1" t="s">
        <v>4934</v>
      </c>
      <c r="L1" t="s">
        <v>4938</v>
      </c>
      <c r="M1" t="s">
        <v>4939</v>
      </c>
    </row>
    <row r="2" spans="1:18">
      <c r="A2" s="118" t="s">
        <v>4933</v>
      </c>
      <c r="B2" s="118">
        <v>1120643604</v>
      </c>
      <c r="C2" s="118">
        <v>930</v>
      </c>
      <c r="D2" s="118">
        <f>B2*C2/$K$2</f>
        <v>14.474979885</v>
      </c>
      <c r="E2" s="118"/>
      <c r="F2" s="118"/>
      <c r="G2" s="118">
        <v>4211</v>
      </c>
      <c r="H2" s="118">
        <f>B2*G2/$K$2</f>
        <v>65.542086339500003</v>
      </c>
      <c r="K2">
        <v>72000000000</v>
      </c>
      <c r="L2">
        <v>27308458109</v>
      </c>
      <c r="M2">
        <v>40500000000</v>
      </c>
    </row>
    <row r="3" spans="1:18">
      <c r="A3" s="146" t="s">
        <v>4935</v>
      </c>
      <c r="B3" s="146">
        <v>2605736250</v>
      </c>
      <c r="C3" s="146">
        <v>80</v>
      </c>
      <c r="D3" s="146">
        <f>B3*C3/$K$2</f>
        <v>2.8952624999999999</v>
      </c>
      <c r="E3" s="146"/>
      <c r="F3" s="146"/>
      <c r="G3" s="146">
        <v>1560</v>
      </c>
      <c r="H3" s="146">
        <f>B3*G3/$K$2</f>
        <v>56.457618750000002</v>
      </c>
      <c r="L3">
        <f>L2/M2</f>
        <v>0.67428291627160497</v>
      </c>
    </row>
    <row r="4" spans="1:18">
      <c r="A4" s="146" t="s">
        <v>4936</v>
      </c>
      <c r="B4" s="146">
        <v>560000000</v>
      </c>
      <c r="C4" s="146">
        <v>25</v>
      </c>
      <c r="D4" s="146">
        <f>B4*C4/$K$2</f>
        <v>0.19444444444444445</v>
      </c>
      <c r="E4" s="146"/>
      <c r="F4" s="146"/>
      <c r="G4" s="146">
        <v>214</v>
      </c>
      <c r="H4" s="146">
        <f>B4*G4/$K$2</f>
        <v>1.6644444444444444</v>
      </c>
    </row>
    <row r="5" spans="1:18">
      <c r="A5" s="146" t="s">
        <v>4937</v>
      </c>
      <c r="B5" s="146">
        <v>15161250</v>
      </c>
      <c r="C5" s="146">
        <v>170</v>
      </c>
      <c r="D5" s="146">
        <f>B5*C5/$K$2</f>
        <v>3.5797395833333336E-2</v>
      </c>
      <c r="E5" s="146"/>
      <c r="F5" s="146"/>
      <c r="G5" s="146">
        <v>1445</v>
      </c>
      <c r="H5" s="146">
        <f>B5*G5/$K$2</f>
        <v>0.30427786458333334</v>
      </c>
    </row>
    <row r="6" spans="1:18">
      <c r="A6" s="23"/>
      <c r="B6" s="23"/>
      <c r="C6" s="23"/>
      <c r="D6" s="23">
        <f>B6*C6/$K$2</f>
        <v>0</v>
      </c>
      <c r="E6" s="23"/>
      <c r="F6" s="23"/>
      <c r="G6" s="23"/>
      <c r="H6" s="99"/>
    </row>
    <row r="7" spans="1:18">
      <c r="A7" s="118" t="s">
        <v>4933</v>
      </c>
      <c r="B7" s="118">
        <v>1124709340</v>
      </c>
      <c r="C7" s="118">
        <f>C2</f>
        <v>930</v>
      </c>
      <c r="D7" s="118">
        <f t="shared" ref="D7:D19" si="0">B7*C7*$L$3/$K$2</f>
        <v>9.7956421273860297</v>
      </c>
      <c r="E7" s="118">
        <v>0</v>
      </c>
      <c r="F7" s="118">
        <f t="shared" ref="F7:F19" si="1">B7*E7*$L$3/$K$2</f>
        <v>0</v>
      </c>
      <c r="G7" s="118">
        <f>G2</f>
        <v>4211</v>
      </c>
      <c r="H7" s="118">
        <f t="shared" ref="H7:H15" si="2">B7*G7*$L$3/$K$2</f>
        <v>44.354246234862984</v>
      </c>
    </row>
    <row r="8" spans="1:18">
      <c r="A8" s="146" t="s">
        <v>4940</v>
      </c>
      <c r="B8" s="146">
        <v>555409765</v>
      </c>
      <c r="C8" s="146">
        <v>250</v>
      </c>
      <c r="D8" s="146">
        <f t="shared" si="0"/>
        <v>1.3003587363539126</v>
      </c>
      <c r="E8" s="146">
        <v>300</v>
      </c>
      <c r="F8" s="146">
        <f t="shared" si="1"/>
        <v>1.5604304836246949</v>
      </c>
      <c r="G8" s="146">
        <v>4144</v>
      </c>
      <c r="H8" s="146">
        <f t="shared" si="2"/>
        <v>21.554746413802452</v>
      </c>
    </row>
    <row r="9" spans="1:18">
      <c r="A9" s="146" t="s">
        <v>4937</v>
      </c>
      <c r="B9" s="146">
        <v>2103087537</v>
      </c>
      <c r="C9" s="146">
        <v>170</v>
      </c>
      <c r="D9" s="146">
        <f t="shared" si="0"/>
        <v>3.3482349943872305</v>
      </c>
      <c r="E9" s="146"/>
      <c r="F9" s="146">
        <f t="shared" si="1"/>
        <v>0</v>
      </c>
      <c r="G9" s="146">
        <f>G5</f>
        <v>1445</v>
      </c>
      <c r="H9" s="146">
        <f t="shared" si="2"/>
        <v>28.459997452291457</v>
      </c>
      <c r="J9" t="s">
        <v>25</v>
      </c>
    </row>
    <row r="10" spans="1:18">
      <c r="A10" s="99" t="s">
        <v>4943</v>
      </c>
      <c r="B10" s="99">
        <v>4123527587</v>
      </c>
      <c r="C10" s="99">
        <v>400</v>
      </c>
      <c r="D10" s="99">
        <f t="shared" si="0"/>
        <v>15.44680114827097</v>
      </c>
      <c r="E10" s="99"/>
      <c r="F10" s="99">
        <f t="shared" si="1"/>
        <v>0</v>
      </c>
      <c r="G10" s="99">
        <v>1971</v>
      </c>
      <c r="H10" s="99">
        <f t="shared" si="2"/>
        <v>76.114112658105199</v>
      </c>
    </row>
    <row r="11" spans="1:18">
      <c r="A11" s="271" t="s">
        <v>4944</v>
      </c>
      <c r="B11" s="271">
        <v>2635379034</v>
      </c>
      <c r="C11" s="271">
        <v>0</v>
      </c>
      <c r="D11" s="271">
        <f t="shared" si="0"/>
        <v>0</v>
      </c>
      <c r="E11" s="271"/>
      <c r="F11" s="271">
        <f t="shared" si="1"/>
        <v>0</v>
      </c>
      <c r="G11" s="271">
        <v>1005</v>
      </c>
      <c r="H11" s="271">
        <f t="shared" si="2"/>
        <v>24.803833553183306</v>
      </c>
    </row>
    <row r="12" spans="1:18">
      <c r="A12" s="146" t="s">
        <v>4945</v>
      </c>
      <c r="B12" s="146">
        <v>1886721602</v>
      </c>
      <c r="C12" s="146">
        <v>240</v>
      </c>
      <c r="D12" s="146">
        <f t="shared" si="0"/>
        <v>4.2406138132973146</v>
      </c>
      <c r="E12" s="146"/>
      <c r="F12" s="146">
        <f t="shared" si="1"/>
        <v>0</v>
      </c>
      <c r="G12" s="146">
        <v>2407</v>
      </c>
      <c r="H12" s="146">
        <f t="shared" si="2"/>
        <v>42.529822702527646</v>
      </c>
      <c r="M12" t="s">
        <v>5032</v>
      </c>
    </row>
    <row r="13" spans="1:18">
      <c r="A13" s="146" t="s">
        <v>4946</v>
      </c>
      <c r="B13" s="146">
        <v>1630533748</v>
      </c>
      <c r="C13" s="146">
        <v>60</v>
      </c>
      <c r="D13" s="146">
        <f t="shared" si="0"/>
        <v>0.91620087556725849</v>
      </c>
      <c r="E13" s="146"/>
      <c r="F13" s="146">
        <f t="shared" si="1"/>
        <v>0</v>
      </c>
      <c r="G13" s="146">
        <v>898</v>
      </c>
      <c r="H13" s="146">
        <f t="shared" si="2"/>
        <v>13.712473104323303</v>
      </c>
      <c r="M13" s="99" t="s">
        <v>180</v>
      </c>
      <c r="N13" s="99" t="s">
        <v>267</v>
      </c>
      <c r="O13" s="99" t="s">
        <v>5030</v>
      </c>
      <c r="P13" s="99"/>
      <c r="Q13" s="99"/>
      <c r="R13" s="99"/>
    </row>
    <row r="14" spans="1:18">
      <c r="A14" s="146" t="s">
        <v>4393</v>
      </c>
      <c r="B14" s="146">
        <v>813533684</v>
      </c>
      <c r="C14" s="146">
        <v>1460</v>
      </c>
      <c r="D14" s="146">
        <f t="shared" si="0"/>
        <v>11.123412816690907</v>
      </c>
      <c r="E14" s="146"/>
      <c r="F14" s="146">
        <f t="shared" si="1"/>
        <v>0</v>
      </c>
      <c r="G14" s="146">
        <v>6321</v>
      </c>
      <c r="H14" s="146">
        <f t="shared" si="2"/>
        <v>48.158282475550159</v>
      </c>
      <c r="M14" s="99" t="s">
        <v>5022</v>
      </c>
      <c r="N14" s="18">
        <v>7500000</v>
      </c>
      <c r="O14" s="99">
        <v>4</v>
      </c>
      <c r="P14" s="99"/>
      <c r="Q14" s="99"/>
      <c r="R14" s="99"/>
    </row>
    <row r="15" spans="1:18">
      <c r="A15" s="146" t="s">
        <v>4947</v>
      </c>
      <c r="B15" s="146">
        <v>236958025</v>
      </c>
      <c r="C15" s="146">
        <v>270</v>
      </c>
      <c r="D15" s="146">
        <f t="shared" si="0"/>
        <v>0.59916280549109957</v>
      </c>
      <c r="E15" s="146"/>
      <c r="F15" s="146">
        <f t="shared" si="1"/>
        <v>0</v>
      </c>
      <c r="G15" s="146">
        <v>1709</v>
      </c>
      <c r="H15" s="146">
        <f t="shared" si="2"/>
        <v>3.7924786466084783</v>
      </c>
      <c r="M15" s="99" t="s">
        <v>5029</v>
      </c>
      <c r="N15" s="18">
        <v>-500000</v>
      </c>
      <c r="O15" s="99">
        <v>7</v>
      </c>
      <c r="P15" s="99"/>
      <c r="Q15" s="99"/>
      <c r="R15" s="99"/>
    </row>
    <row r="16" spans="1:18">
      <c r="A16" s="99"/>
      <c r="B16" s="99"/>
      <c r="C16" s="99"/>
      <c r="D16" s="99">
        <f t="shared" si="0"/>
        <v>0</v>
      </c>
      <c r="E16" s="99"/>
      <c r="F16" s="99">
        <f t="shared" si="1"/>
        <v>0</v>
      </c>
      <c r="G16" s="99"/>
      <c r="H16" s="99"/>
      <c r="M16" s="99" t="s">
        <v>5040</v>
      </c>
      <c r="N16" s="18">
        <v>-7000000</v>
      </c>
      <c r="O16" s="99">
        <v>1</v>
      </c>
      <c r="P16" s="99"/>
      <c r="Q16" s="99"/>
      <c r="R16" s="99"/>
    </row>
    <row r="17" spans="1:18">
      <c r="A17" s="99"/>
      <c r="B17" s="99"/>
      <c r="C17" s="99"/>
      <c r="D17" s="99">
        <f t="shared" si="0"/>
        <v>0</v>
      </c>
      <c r="E17" s="99"/>
      <c r="F17" s="99">
        <f t="shared" si="1"/>
        <v>0</v>
      </c>
      <c r="G17" s="99"/>
      <c r="H17" s="99"/>
      <c r="M17" s="99" t="s">
        <v>5048</v>
      </c>
      <c r="N17" s="18">
        <v>2000000</v>
      </c>
      <c r="O17" s="99">
        <v>6</v>
      </c>
      <c r="P17" s="99"/>
      <c r="Q17" s="99"/>
      <c r="R17" s="99"/>
    </row>
    <row r="18" spans="1:18">
      <c r="A18" s="99"/>
      <c r="B18" s="99"/>
      <c r="C18" s="99"/>
      <c r="D18" s="99">
        <f t="shared" si="0"/>
        <v>0</v>
      </c>
      <c r="E18" s="99"/>
      <c r="F18" s="99">
        <f t="shared" si="1"/>
        <v>0</v>
      </c>
      <c r="G18" s="99"/>
      <c r="H18" s="99"/>
      <c r="M18" s="99" t="s">
        <v>5066</v>
      </c>
      <c r="N18" s="18">
        <v>1000000</v>
      </c>
      <c r="O18" s="99">
        <v>3</v>
      </c>
      <c r="P18" s="99"/>
      <c r="Q18" s="99"/>
      <c r="R18" s="99"/>
    </row>
    <row r="19" spans="1:18">
      <c r="A19" s="99"/>
      <c r="B19" s="99"/>
      <c r="C19" s="99"/>
      <c r="D19" s="99">
        <f t="shared" si="0"/>
        <v>0</v>
      </c>
      <c r="E19" s="99"/>
      <c r="F19" s="99">
        <f t="shared" si="1"/>
        <v>0</v>
      </c>
      <c r="G19" s="99"/>
      <c r="H19" s="99"/>
      <c r="M19" s="99" t="s">
        <v>5081</v>
      </c>
      <c r="N19" s="18">
        <v>200000</v>
      </c>
      <c r="O19" s="99">
        <v>3</v>
      </c>
      <c r="P19" s="99"/>
      <c r="Q19" s="99"/>
      <c r="R19" s="99"/>
    </row>
    <row r="20" spans="1:18">
      <c r="A20" s="99"/>
      <c r="B20" s="99"/>
      <c r="C20" s="99"/>
      <c r="D20" s="99"/>
      <c r="E20" s="99"/>
      <c r="F20" s="99"/>
      <c r="G20" s="99"/>
      <c r="H20" s="99"/>
      <c r="J20" t="s">
        <v>25</v>
      </c>
      <c r="M20" s="99" t="s">
        <v>5084</v>
      </c>
      <c r="N20" s="18">
        <v>-3200000</v>
      </c>
      <c r="O20" s="99">
        <v>6</v>
      </c>
      <c r="P20" s="99"/>
      <c r="Q20" s="99"/>
      <c r="R20" s="99"/>
    </row>
    <row r="21" spans="1:18">
      <c r="A21" s="99"/>
      <c r="B21" s="99"/>
      <c r="C21" s="99"/>
      <c r="D21" s="99">
        <f>SUM(D2:D15)</f>
        <v>64.37091154272251</v>
      </c>
      <c r="E21" s="99"/>
      <c r="F21" s="99"/>
      <c r="G21" s="99"/>
      <c r="H21" s="99">
        <f>SUM(H2:H19)</f>
        <v>427.4484206397828</v>
      </c>
      <c r="I21">
        <f>H21*0.8</f>
        <v>341.95873651182626</v>
      </c>
      <c r="M21" s="99" t="s">
        <v>5102</v>
      </c>
      <c r="N21" s="18">
        <v>6000000</v>
      </c>
      <c r="O21" s="99">
        <v>1</v>
      </c>
      <c r="P21" s="99"/>
      <c r="Q21" s="99"/>
      <c r="R21" s="99"/>
    </row>
    <row r="22" spans="1:18">
      <c r="A22" s="99"/>
      <c r="B22" s="99"/>
      <c r="C22" s="99"/>
      <c r="D22" s="99"/>
      <c r="E22" s="99"/>
      <c r="F22" s="99"/>
      <c r="G22" s="99"/>
      <c r="H22" s="99"/>
      <c r="M22" s="99" t="s">
        <v>5103</v>
      </c>
      <c r="N22" s="18">
        <v>2000000</v>
      </c>
      <c r="O22" s="99">
        <v>3</v>
      </c>
      <c r="P22" s="99"/>
      <c r="Q22" s="99"/>
      <c r="R22" s="99"/>
    </row>
    <row r="23" spans="1:18">
      <c r="A23" s="99"/>
      <c r="B23" s="99"/>
      <c r="C23" s="99"/>
      <c r="D23" s="99"/>
      <c r="E23" s="99"/>
      <c r="F23" s="99"/>
      <c r="G23" s="99"/>
      <c r="H23" s="99"/>
      <c r="M23" s="99" t="s">
        <v>5117</v>
      </c>
      <c r="N23" s="18">
        <v>-50000</v>
      </c>
      <c r="O23" s="99">
        <v>7</v>
      </c>
      <c r="P23" s="99"/>
      <c r="Q23" s="99"/>
      <c r="R23" s="99"/>
    </row>
    <row r="24" spans="1:18">
      <c r="A24" s="99"/>
      <c r="B24" s="99"/>
      <c r="C24" s="99"/>
      <c r="D24" s="99"/>
      <c r="E24" s="99"/>
      <c r="F24" s="99"/>
      <c r="G24" s="99"/>
      <c r="H24" s="99"/>
      <c r="M24" s="99" t="s">
        <v>5127</v>
      </c>
      <c r="N24" s="18">
        <v>-2480000</v>
      </c>
      <c r="O24" s="99">
        <v>5</v>
      </c>
      <c r="P24" s="99"/>
      <c r="Q24" s="99"/>
      <c r="R24" s="99"/>
    </row>
    <row r="25" spans="1:18">
      <c r="H25">
        <v>241</v>
      </c>
      <c r="I25">
        <f>H25/H21</f>
        <v>0.5638107157801252</v>
      </c>
      <c r="M25" s="99" t="s">
        <v>5138</v>
      </c>
      <c r="N25" s="18">
        <v>300000</v>
      </c>
      <c r="O25" s="99">
        <v>1</v>
      </c>
      <c r="P25" s="99"/>
      <c r="Q25" s="99"/>
      <c r="R25" s="99"/>
    </row>
    <row r="26" spans="1:18">
      <c r="M26" s="99" t="s">
        <v>4236</v>
      </c>
      <c r="N26" s="18">
        <v>300000</v>
      </c>
      <c r="O26" s="99">
        <v>6</v>
      </c>
      <c r="P26" s="99"/>
      <c r="Q26" s="99"/>
      <c r="R26" s="99"/>
    </row>
    <row r="27" spans="1:18">
      <c r="M27" s="99" t="s">
        <v>5158</v>
      </c>
      <c r="N27" s="18">
        <v>500000</v>
      </c>
      <c r="O27" s="99">
        <v>1</v>
      </c>
      <c r="P27" s="99"/>
      <c r="Q27" s="99"/>
      <c r="R27" s="99"/>
    </row>
    <row r="28" spans="1:18">
      <c r="M28" s="99"/>
      <c r="N28" s="18"/>
      <c r="O28" s="99"/>
      <c r="P28" s="99"/>
      <c r="Q28" s="99"/>
      <c r="R28" s="99"/>
    </row>
    <row r="29" spans="1:18">
      <c r="M29" s="99"/>
      <c r="N29" s="18">
        <f>SUM(N14:N28)</f>
        <v>6570000</v>
      </c>
      <c r="O29" s="99"/>
      <c r="P29" s="99"/>
      <c r="Q29" s="99"/>
      <c r="R29" s="99"/>
    </row>
    <row r="30" spans="1:18">
      <c r="B30" s="96"/>
      <c r="C30" s="96"/>
      <c r="D30" s="96"/>
      <c r="N30" t="s">
        <v>5031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4910</v>
      </c>
      <c r="E1" t="s">
        <v>4911</v>
      </c>
      <c r="F1" t="s">
        <v>8</v>
      </c>
    </row>
    <row r="2" spans="1:6">
      <c r="A2" t="s">
        <v>4914</v>
      </c>
      <c r="B2">
        <v>237</v>
      </c>
      <c r="C2">
        <v>281</v>
      </c>
      <c r="D2">
        <f>B2/C2</f>
        <v>0.84341637010676151</v>
      </c>
      <c r="E2" t="s">
        <v>4915</v>
      </c>
      <c r="F2" t="s">
        <v>4916</v>
      </c>
    </row>
    <row r="3" spans="1:6">
      <c r="A3" t="s">
        <v>4533</v>
      </c>
      <c r="B3">
        <v>134</v>
      </c>
      <c r="C3">
        <v>193</v>
      </c>
      <c r="D3" s="96">
        <f t="shared" ref="D3:D21" si="0">B3/C3</f>
        <v>0.69430051813471505</v>
      </c>
      <c r="E3" t="s">
        <v>4915</v>
      </c>
      <c r="F3" s="96" t="s">
        <v>4916</v>
      </c>
    </row>
    <row r="4" spans="1:6">
      <c r="A4" t="s">
        <v>4917</v>
      </c>
      <c r="B4">
        <v>195</v>
      </c>
      <c r="C4">
        <v>73</v>
      </c>
      <c r="D4" s="96">
        <f t="shared" si="0"/>
        <v>2.6712328767123288</v>
      </c>
      <c r="E4" t="s">
        <v>4918</v>
      </c>
      <c r="F4" t="s">
        <v>4919</v>
      </c>
    </row>
    <row r="5" spans="1:6">
      <c r="A5" t="s">
        <v>4920</v>
      </c>
      <c r="B5">
        <v>1</v>
      </c>
      <c r="C5">
        <v>1</v>
      </c>
      <c r="D5" s="96">
        <f t="shared" si="0"/>
        <v>1</v>
      </c>
      <c r="E5" t="s">
        <v>4918</v>
      </c>
      <c r="F5" t="s">
        <v>4921</v>
      </c>
    </row>
    <row r="6" spans="1:6">
      <c r="A6" t="s">
        <v>4574</v>
      </c>
      <c r="B6">
        <v>163</v>
      </c>
      <c r="C6">
        <v>232</v>
      </c>
      <c r="D6" s="96">
        <f t="shared" si="0"/>
        <v>0.70258620689655171</v>
      </c>
      <c r="F6" s="96" t="s">
        <v>4916</v>
      </c>
    </row>
    <row r="7" spans="1:6">
      <c r="A7" t="s">
        <v>4922</v>
      </c>
      <c r="B7">
        <v>247</v>
      </c>
      <c r="C7">
        <v>250</v>
      </c>
      <c r="D7" s="96">
        <f t="shared" si="0"/>
        <v>0.98799999999999999</v>
      </c>
    </row>
    <row r="8" spans="1:6">
      <c r="A8" t="s">
        <v>4923</v>
      </c>
      <c r="B8">
        <v>335</v>
      </c>
      <c r="C8">
        <v>141</v>
      </c>
      <c r="D8" s="96">
        <f t="shared" si="0"/>
        <v>2.375886524822695</v>
      </c>
      <c r="F8" s="96" t="s">
        <v>4921</v>
      </c>
    </row>
    <row r="9" spans="1:6">
      <c r="A9" t="s">
        <v>4802</v>
      </c>
      <c r="B9">
        <v>150</v>
      </c>
      <c r="C9">
        <v>240</v>
      </c>
      <c r="D9" s="96">
        <f t="shared" si="0"/>
        <v>0.625</v>
      </c>
      <c r="F9" t="s">
        <v>4924</v>
      </c>
    </row>
    <row r="10" spans="1:6">
      <c r="A10" t="s">
        <v>4925</v>
      </c>
      <c r="B10">
        <v>187</v>
      </c>
      <c r="C10">
        <v>208</v>
      </c>
      <c r="D10" s="96">
        <f t="shared" si="0"/>
        <v>0.89903846153846156</v>
      </c>
      <c r="F10" t="s">
        <v>4915</v>
      </c>
    </row>
    <row r="11" spans="1:6">
      <c r="A11" t="s">
        <v>4926</v>
      </c>
      <c r="B11">
        <v>412</v>
      </c>
      <c r="C11">
        <v>183</v>
      </c>
      <c r="D11" s="96">
        <f t="shared" si="0"/>
        <v>2.2513661202185791</v>
      </c>
      <c r="F11" s="96" t="s">
        <v>4921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4909</v>
      </c>
      <c r="B21">
        <v>113</v>
      </c>
      <c r="C21">
        <v>215</v>
      </c>
      <c r="D21" s="96">
        <f t="shared" si="0"/>
        <v>0.52558139534883719</v>
      </c>
      <c r="E21" t="s">
        <v>4912</v>
      </c>
      <c r="F2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6" sqref="E7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4873</v>
      </c>
      <c r="F45" s="96"/>
      <c r="G45" s="96"/>
      <c r="H45" s="96"/>
      <c r="I45" s="96"/>
      <c r="J45" s="96"/>
      <c r="K45" s="96"/>
      <c r="L45" s="96"/>
      <c r="M45" s="96"/>
      <c r="N45" s="96"/>
      <c r="O45" s="96"/>
      <c r="P45" s="96"/>
      <c r="Q45" s="96"/>
      <c r="R45" s="96"/>
      <c r="S45" s="96"/>
      <c r="T45" s="96"/>
      <c r="U45" s="96"/>
    </row>
    <row r="46" spans="1:21">
      <c r="A46" s="96"/>
      <c r="B46" s="96"/>
      <c r="C46" s="96"/>
      <c r="D46" s="18">
        <v>-200000</v>
      </c>
      <c r="E46" s="122" t="s">
        <v>4874</v>
      </c>
      <c r="F46" s="96"/>
      <c r="G46" s="96"/>
      <c r="H46" s="96"/>
      <c r="I46" s="96"/>
      <c r="J46" s="96"/>
      <c r="K46" s="96"/>
      <c r="L46" s="96"/>
      <c r="M46" s="96"/>
      <c r="N46" s="96"/>
      <c r="O46" s="96"/>
      <c r="P46" s="96"/>
      <c r="Q46" s="96"/>
      <c r="R46" s="96"/>
      <c r="S46" s="96"/>
      <c r="T46" s="96"/>
      <c r="U46" s="96"/>
    </row>
    <row r="47" spans="1:21">
      <c r="A47" s="96"/>
      <c r="B47" s="96"/>
      <c r="C47" s="96"/>
      <c r="D47" s="18">
        <v>-2336075</v>
      </c>
      <c r="E47" s="122" t="s">
        <v>4878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4892</v>
      </c>
      <c r="F50" s="96"/>
      <c r="G50" s="96"/>
      <c r="H50" s="96"/>
      <c r="I50" s="96"/>
      <c r="J50" s="96"/>
      <c r="K50" s="96"/>
      <c r="L50" s="96"/>
      <c r="M50" s="96"/>
      <c r="N50" s="96"/>
      <c r="O50" s="96"/>
      <c r="P50" s="96"/>
      <c r="Q50" s="96"/>
      <c r="R50" s="96"/>
      <c r="S50" s="96"/>
      <c r="T50" s="96"/>
      <c r="U50" s="96"/>
    </row>
    <row r="51" spans="1:21">
      <c r="A51" s="96"/>
      <c r="B51" s="96"/>
      <c r="C51" s="96"/>
      <c r="D51" s="18">
        <v>-40000</v>
      </c>
      <c r="E51" s="122" t="s">
        <v>4893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4905</v>
      </c>
      <c r="F52" s="96"/>
      <c r="G52" s="96"/>
      <c r="H52" s="96"/>
      <c r="I52" s="96"/>
      <c r="J52" s="96"/>
      <c r="K52" s="96"/>
      <c r="L52" s="96"/>
      <c r="M52" s="96"/>
      <c r="N52" s="96"/>
      <c r="O52" s="96"/>
      <c r="P52" s="96"/>
      <c r="Q52" s="96"/>
      <c r="R52" s="96"/>
      <c r="S52" s="96"/>
      <c r="T52" s="96"/>
      <c r="U52" s="96"/>
    </row>
    <row r="53" spans="1:21">
      <c r="A53" s="96"/>
      <c r="B53" s="96"/>
      <c r="C53" s="96"/>
      <c r="D53" s="18">
        <v>160000</v>
      </c>
      <c r="E53" s="122" t="s">
        <v>4908</v>
      </c>
      <c r="F53" s="96"/>
      <c r="G53" s="96"/>
      <c r="H53" s="96"/>
      <c r="I53" s="96"/>
      <c r="J53" s="96"/>
      <c r="K53" s="96"/>
      <c r="L53" s="96"/>
      <c r="M53" s="96"/>
      <c r="N53" s="96"/>
      <c r="O53" s="96"/>
      <c r="P53" s="96"/>
      <c r="Q53" s="96"/>
      <c r="R53" s="96"/>
      <c r="S53" s="96"/>
      <c r="T53" s="96"/>
      <c r="U53" s="96"/>
    </row>
    <row r="54" spans="1:21">
      <c r="A54" s="96"/>
      <c r="B54" s="96"/>
      <c r="C54" s="96"/>
      <c r="D54" s="18">
        <v>-224012</v>
      </c>
      <c r="E54" s="122" t="s">
        <v>4948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4949</v>
      </c>
      <c r="F55" s="114"/>
      <c r="G55" s="41"/>
      <c r="H55" s="96"/>
      <c r="I55" s="96"/>
      <c r="J55" s="96"/>
      <c r="K55" s="96"/>
      <c r="L55" s="96"/>
      <c r="M55" s="96"/>
      <c r="N55" s="96"/>
      <c r="O55" s="96"/>
      <c r="P55" s="96"/>
      <c r="Q55" s="96"/>
      <c r="R55" s="96"/>
      <c r="S55" s="96"/>
      <c r="T55" s="96"/>
      <c r="U55" s="96"/>
    </row>
    <row r="56" spans="1:21">
      <c r="A56" s="96"/>
      <c r="B56" s="96"/>
      <c r="C56" s="96"/>
      <c r="D56" s="18">
        <v>1465000</v>
      </c>
      <c r="E56" s="122" t="s">
        <v>4957</v>
      </c>
      <c r="F56" s="114"/>
      <c r="G56" s="41"/>
      <c r="H56" s="96"/>
      <c r="I56" s="96"/>
      <c r="J56" s="96"/>
      <c r="K56" s="96"/>
      <c r="L56" s="96"/>
      <c r="M56" s="96"/>
      <c r="N56" s="96"/>
      <c r="O56" s="96"/>
      <c r="P56" s="96"/>
      <c r="Q56" s="96"/>
      <c r="R56" s="96"/>
      <c r="S56" s="96"/>
      <c r="T56" s="96"/>
      <c r="U56" s="96"/>
    </row>
    <row r="57" spans="1:21">
      <c r="A57" s="96"/>
      <c r="B57" s="96"/>
      <c r="C57" s="96"/>
      <c r="D57" s="18">
        <v>2600000</v>
      </c>
      <c r="E57" s="122" t="s">
        <v>4995</v>
      </c>
      <c r="F57" s="114"/>
      <c r="G57" s="41"/>
      <c r="H57" s="96"/>
      <c r="I57" s="96"/>
      <c r="J57" s="96"/>
      <c r="K57" s="96"/>
      <c r="L57" s="96"/>
      <c r="M57" s="96"/>
      <c r="N57" s="96"/>
      <c r="O57" s="96"/>
      <c r="P57" s="96"/>
      <c r="Q57" s="96"/>
      <c r="R57" s="96"/>
      <c r="S57" s="96"/>
      <c r="T57" s="96"/>
      <c r="U57" s="96"/>
    </row>
    <row r="58" spans="1:21">
      <c r="A58" s="96"/>
      <c r="B58" s="96"/>
      <c r="C58" s="96"/>
      <c r="D58" s="18">
        <v>-1170000</v>
      </c>
      <c r="E58" s="122" t="s">
        <v>5007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5006</v>
      </c>
      <c r="F59" s="114"/>
      <c r="G59" s="96"/>
      <c r="H59" s="96"/>
      <c r="I59" s="96"/>
      <c r="J59" s="96"/>
      <c r="K59" s="96"/>
      <c r="L59" s="96"/>
      <c r="M59" s="96"/>
      <c r="N59" s="96"/>
      <c r="O59" s="96"/>
      <c r="P59" s="96"/>
      <c r="Q59" s="96"/>
      <c r="R59" s="96"/>
      <c r="S59" s="96"/>
      <c r="T59" s="96"/>
      <c r="U59" s="96"/>
    </row>
    <row r="60" spans="1:21">
      <c r="A60" s="96"/>
      <c r="B60" s="96"/>
      <c r="C60" s="96"/>
      <c r="D60" s="18">
        <v>360000</v>
      </c>
      <c r="E60" s="122" t="s">
        <v>5018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5046</v>
      </c>
      <c r="F61" s="96"/>
      <c r="G61" s="96"/>
      <c r="H61" s="96"/>
      <c r="I61" s="96"/>
      <c r="J61" s="96"/>
      <c r="K61" s="96"/>
      <c r="L61" s="96"/>
      <c r="M61" s="96"/>
      <c r="N61" s="96"/>
      <c r="O61" s="96"/>
      <c r="P61" s="96"/>
      <c r="Q61" s="96"/>
      <c r="R61" s="96"/>
      <c r="S61" s="96"/>
      <c r="T61" s="96"/>
      <c r="U61" s="96"/>
    </row>
    <row r="62" spans="1:21">
      <c r="A62" s="96"/>
      <c r="B62" s="96"/>
      <c r="C62" s="96"/>
      <c r="D62" s="18">
        <v>-550000</v>
      </c>
      <c r="E62" s="256" t="s">
        <v>5049</v>
      </c>
      <c r="F62" s="96"/>
      <c r="G62" s="96"/>
      <c r="H62" s="96"/>
      <c r="I62" s="96"/>
      <c r="J62" s="96"/>
      <c r="K62" s="96"/>
      <c r="L62" s="96"/>
      <c r="M62" s="96"/>
      <c r="N62" s="96"/>
      <c r="O62" s="96"/>
      <c r="P62" s="96"/>
      <c r="Q62" s="96"/>
      <c r="R62" s="96"/>
      <c r="S62" s="96"/>
      <c r="T62" s="96"/>
      <c r="U62" s="96"/>
    </row>
    <row r="63" spans="1:21">
      <c r="A63" s="96"/>
      <c r="B63" s="96"/>
      <c r="C63" s="96"/>
      <c r="D63" s="18">
        <v>-850000</v>
      </c>
      <c r="E63" s="256" t="s">
        <v>5058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5062</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5067</v>
      </c>
      <c r="F65" s="96"/>
      <c r="G65" s="96"/>
      <c r="H65" s="96"/>
      <c r="I65" s="96"/>
      <c r="J65" s="96"/>
      <c r="K65" s="96"/>
      <c r="L65" s="96"/>
      <c r="M65" s="96"/>
      <c r="N65" s="96"/>
      <c r="O65" s="96"/>
      <c r="P65" s="96"/>
      <c r="Q65" s="96"/>
      <c r="R65" s="96"/>
      <c r="S65" s="96"/>
      <c r="T65" s="96"/>
      <c r="U65" s="96"/>
    </row>
    <row r="66" spans="1:21">
      <c r="A66" s="96"/>
      <c r="B66" s="96"/>
      <c r="C66" s="96"/>
      <c r="D66" s="18">
        <v>-2290500</v>
      </c>
      <c r="E66" s="256" t="s">
        <v>5068</v>
      </c>
      <c r="F66" s="96"/>
      <c r="G66" s="96"/>
      <c r="H66" s="96"/>
      <c r="I66" s="96"/>
      <c r="J66" s="96"/>
      <c r="K66" s="96"/>
      <c r="L66" s="96"/>
      <c r="M66" s="96"/>
      <c r="N66" s="96"/>
      <c r="O66" s="96"/>
      <c r="P66" s="96"/>
      <c r="Q66" s="96"/>
      <c r="R66" s="96"/>
      <c r="S66" s="96"/>
      <c r="T66" s="96"/>
      <c r="U66" s="96"/>
    </row>
    <row r="67" spans="1:21">
      <c r="A67" s="96"/>
      <c r="B67" s="96"/>
      <c r="C67" s="96"/>
      <c r="D67" s="18">
        <v>1700000</v>
      </c>
      <c r="E67" s="256" t="s">
        <v>5083</v>
      </c>
      <c r="F67" s="96"/>
      <c r="G67" s="96"/>
      <c r="H67" s="96"/>
      <c r="I67" s="96"/>
      <c r="J67" s="96"/>
      <c r="K67" s="96"/>
      <c r="L67" s="96"/>
      <c r="M67" s="96"/>
      <c r="N67" s="96"/>
      <c r="O67" s="96"/>
      <c r="P67" s="96"/>
      <c r="Q67" s="96"/>
      <c r="R67" s="96"/>
      <c r="S67" s="96"/>
      <c r="T67" s="96"/>
      <c r="U67" s="96"/>
    </row>
    <row r="68" spans="1:21">
      <c r="A68" s="96"/>
      <c r="B68" s="96"/>
      <c r="C68" s="96"/>
      <c r="D68" s="18">
        <v>-150000</v>
      </c>
      <c r="E68" s="256" t="s">
        <v>5089</v>
      </c>
      <c r="F68" s="96"/>
      <c r="G68" s="96"/>
      <c r="H68" s="96"/>
      <c r="I68" s="96"/>
      <c r="J68" s="96"/>
      <c r="K68" s="96"/>
      <c r="L68" s="96"/>
      <c r="M68" s="96"/>
      <c r="N68" s="96"/>
      <c r="O68" s="96"/>
      <c r="P68" s="96"/>
      <c r="Q68" s="96"/>
      <c r="R68" s="96"/>
      <c r="S68" s="96"/>
      <c r="T68" s="96"/>
      <c r="U68" s="96"/>
    </row>
    <row r="69" spans="1:21">
      <c r="A69" s="96"/>
      <c r="B69" s="96"/>
      <c r="C69" s="96"/>
      <c r="D69" s="18">
        <v>-550000</v>
      </c>
      <c r="E69" s="256" t="s">
        <v>5095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5126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5154</v>
      </c>
      <c r="F71" s="96"/>
      <c r="G71" s="96"/>
      <c r="H71" s="96"/>
      <c r="I71" s="96"/>
      <c r="J71" s="96"/>
      <c r="K71" s="96"/>
      <c r="L71" s="96"/>
      <c r="M71" s="96"/>
      <c r="N71" s="96"/>
      <c r="O71" s="96"/>
      <c r="P71" s="96"/>
      <c r="Q71" s="96"/>
      <c r="R71" s="96"/>
      <c r="S71" s="96"/>
      <c r="T71" s="96"/>
      <c r="U71" s="96"/>
    </row>
    <row r="72" spans="1:21">
      <c r="A72" s="96"/>
      <c r="B72" s="96"/>
      <c r="C72" s="96"/>
      <c r="D72" s="18">
        <v>1500000</v>
      </c>
      <c r="E72" s="256" t="s">
        <v>5155</v>
      </c>
      <c r="F72" s="96"/>
      <c r="G72" s="96"/>
      <c r="H72" s="96"/>
      <c r="I72" s="96"/>
      <c r="J72" s="96"/>
      <c r="K72" s="96"/>
      <c r="L72" s="96"/>
      <c r="M72" s="96"/>
      <c r="N72" s="96"/>
      <c r="O72" s="96"/>
      <c r="P72" s="96"/>
      <c r="Q72" s="96"/>
      <c r="R72" s="96"/>
      <c r="S72" s="96"/>
      <c r="T72" s="96"/>
      <c r="U72" s="96"/>
    </row>
    <row r="73" spans="1:21">
      <c r="A73" s="96"/>
      <c r="B73" s="96"/>
      <c r="C73" s="96"/>
      <c r="D73" s="18">
        <v>-550000</v>
      </c>
      <c r="E73" s="256" t="s">
        <v>5163</v>
      </c>
      <c r="F73" s="96"/>
      <c r="G73" s="96"/>
      <c r="H73" s="96"/>
      <c r="I73" s="96"/>
      <c r="J73" s="96"/>
      <c r="K73" s="96"/>
      <c r="L73" s="96"/>
      <c r="M73" s="96"/>
      <c r="N73" s="96"/>
      <c r="O73" s="96"/>
      <c r="P73" s="96"/>
      <c r="Q73" s="96"/>
      <c r="R73" s="96"/>
      <c r="S73" s="96"/>
      <c r="T73" s="96"/>
      <c r="U73" s="96"/>
    </row>
    <row r="74" spans="1:21">
      <c r="A74" s="96"/>
      <c r="B74" s="96"/>
      <c r="C74" s="96"/>
      <c r="D74" s="18">
        <v>-50000</v>
      </c>
      <c r="E74" s="256" t="s">
        <v>5166</v>
      </c>
      <c r="F74" s="96"/>
      <c r="G74" s="96"/>
      <c r="H74" s="96"/>
      <c r="I74" s="96"/>
      <c r="J74" s="96"/>
      <c r="K74" s="96"/>
      <c r="L74" s="96"/>
      <c r="M74" s="96"/>
      <c r="N74" s="96"/>
      <c r="O74" s="96"/>
      <c r="P74" s="96"/>
      <c r="Q74" s="96"/>
      <c r="R74" s="96"/>
      <c r="S74" s="96"/>
      <c r="T74" s="96"/>
      <c r="U74" s="96"/>
    </row>
    <row r="75" spans="1:21">
      <c r="A75" s="96"/>
      <c r="B75" s="96"/>
      <c r="C75" s="96"/>
      <c r="D75" s="18">
        <v>-60000</v>
      </c>
      <c r="E75" s="256" t="s">
        <v>5167</v>
      </c>
      <c r="F75" s="96"/>
      <c r="G75" s="96"/>
      <c r="H75" s="96"/>
      <c r="I75" s="96"/>
      <c r="J75" s="96"/>
      <c r="K75" s="96"/>
      <c r="L75" s="96"/>
      <c r="M75" s="96"/>
      <c r="N75" s="96"/>
      <c r="O75" s="96"/>
      <c r="P75" s="96"/>
      <c r="Q75" s="96"/>
      <c r="R75" s="96"/>
      <c r="S75" s="96"/>
      <c r="T75" s="96"/>
      <c r="U75" s="96"/>
    </row>
    <row r="76" spans="1:21">
      <c r="A76" s="96"/>
      <c r="B76" s="96"/>
      <c r="C76" s="96"/>
      <c r="D76" s="18"/>
      <c r="E76" s="256"/>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24528909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4927</v>
      </c>
      <c r="B274" s="113">
        <v>3500000</v>
      </c>
      <c r="C274" s="99">
        <v>0</v>
      </c>
      <c r="D274" s="99">
        <f t="shared" si="8"/>
        <v>32</v>
      </c>
      <c r="E274" s="99">
        <f t="shared" si="9"/>
        <v>0</v>
      </c>
      <c r="F274" s="99">
        <f t="shared" si="10"/>
        <v>-7168384</v>
      </c>
      <c r="G274" s="99"/>
    </row>
    <row r="275" spans="1:11">
      <c r="A275" s="99" t="s">
        <v>4927</v>
      </c>
      <c r="B275" s="113">
        <v>-224012</v>
      </c>
      <c r="C275" s="99">
        <v>2</v>
      </c>
      <c r="D275" s="99">
        <f t="shared" si="8"/>
        <v>32</v>
      </c>
      <c r="E275" s="99">
        <f t="shared" si="9"/>
        <v>0</v>
      </c>
      <c r="F275" s="99">
        <f t="shared" si="10"/>
        <v>-3349472</v>
      </c>
      <c r="G275" s="99"/>
    </row>
    <row r="276" spans="1:11">
      <c r="A276" s="99" t="s">
        <v>4950</v>
      </c>
      <c r="B276" s="113">
        <v>-104671</v>
      </c>
      <c r="C276" s="99">
        <v>1</v>
      </c>
      <c r="D276" s="99">
        <f t="shared" ref="D276:D280" si="11">D277+C276</f>
        <v>30</v>
      </c>
      <c r="E276" s="99">
        <f t="shared" ref="E276:E280" si="12">IF(B277&gt;0,1,0)</f>
        <v>0</v>
      </c>
      <c r="F276" s="99">
        <f t="shared" ref="F276:F280" si="13">B277*(D276-E276)</f>
        <v>-8160000</v>
      </c>
      <c r="G276" s="99"/>
    </row>
    <row r="277" spans="1:11">
      <c r="A277" s="99" t="s">
        <v>4952</v>
      </c>
      <c r="B277" s="113">
        <v>-272000</v>
      </c>
      <c r="C277" s="99">
        <v>1</v>
      </c>
      <c r="D277" s="99">
        <f t="shared" si="11"/>
        <v>29</v>
      </c>
      <c r="E277" s="99">
        <f t="shared" si="12"/>
        <v>0</v>
      </c>
      <c r="F277" s="99">
        <f t="shared" si="13"/>
        <v>-74387262</v>
      </c>
      <c r="G277" s="99"/>
    </row>
    <row r="278" spans="1:11">
      <c r="A278" s="99" t="s">
        <v>4954</v>
      </c>
      <c r="B278" s="113">
        <v>-2565078</v>
      </c>
      <c r="C278" s="99">
        <v>2</v>
      </c>
      <c r="D278" s="99">
        <f t="shared" si="11"/>
        <v>28</v>
      </c>
      <c r="E278" s="99">
        <f t="shared" si="12"/>
        <v>0</v>
      </c>
      <c r="F278" s="99">
        <f t="shared" si="13"/>
        <v>-5978000</v>
      </c>
      <c r="G278" s="99"/>
    </row>
    <row r="279" spans="1:11">
      <c r="A279" s="99" t="s">
        <v>4899</v>
      </c>
      <c r="B279" s="113">
        <v>-213500</v>
      </c>
      <c r="C279" s="99">
        <v>1</v>
      </c>
      <c r="D279" s="99">
        <f t="shared" si="11"/>
        <v>26</v>
      </c>
      <c r="E279" s="99">
        <f t="shared" si="12"/>
        <v>0</v>
      </c>
      <c r="F279" s="99">
        <f t="shared" si="13"/>
        <v>-99060</v>
      </c>
      <c r="G279" s="99"/>
    </row>
    <row r="280" spans="1:11">
      <c r="A280" s="99" t="s">
        <v>4971</v>
      </c>
      <c r="B280" s="113">
        <v>-3810</v>
      </c>
      <c r="C280" s="99">
        <v>1</v>
      </c>
      <c r="D280" s="99">
        <f t="shared" si="11"/>
        <v>25</v>
      </c>
      <c r="E280" s="99">
        <f t="shared" si="12"/>
        <v>0</v>
      </c>
      <c r="F280" s="99">
        <f t="shared" si="13"/>
        <v>-3015800</v>
      </c>
      <c r="G280" s="99"/>
      <c r="J280" t="s">
        <v>25</v>
      </c>
    </row>
    <row r="281" spans="1:11">
      <c r="A281" s="99" t="s">
        <v>4972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4960</v>
      </c>
      <c r="B282" s="113">
        <v>80000</v>
      </c>
      <c r="C282" s="99">
        <v>0</v>
      </c>
      <c r="D282" s="99">
        <f t="shared" si="14"/>
        <v>23</v>
      </c>
      <c r="E282" s="99">
        <f t="shared" si="15"/>
        <v>0</v>
      </c>
      <c r="F282" s="99">
        <f t="shared" si="16"/>
        <v>-57500</v>
      </c>
      <c r="G282" s="99"/>
    </row>
    <row r="283" spans="1:11">
      <c r="A283" s="99" t="s">
        <v>4960</v>
      </c>
      <c r="B283" s="113">
        <v>-2500</v>
      </c>
      <c r="C283" s="99">
        <v>1</v>
      </c>
      <c r="D283" s="99">
        <f t="shared" si="14"/>
        <v>23</v>
      </c>
      <c r="E283" s="99">
        <f t="shared" si="15"/>
        <v>0</v>
      </c>
      <c r="F283" s="99">
        <f t="shared" si="16"/>
        <v>-690000</v>
      </c>
      <c r="G283" s="99"/>
      <c r="J283" s="114">
        <f>B315-498804</f>
        <v>-140500</v>
      </c>
    </row>
    <row r="284" spans="1:11">
      <c r="A284" s="99" t="s">
        <v>4965</v>
      </c>
      <c r="B284" s="113">
        <v>-30000</v>
      </c>
      <c r="C284" s="99">
        <v>1</v>
      </c>
      <c r="D284" s="99">
        <f t="shared" si="14"/>
        <v>22</v>
      </c>
      <c r="E284" s="99">
        <f t="shared" si="15"/>
        <v>0</v>
      </c>
      <c r="F284" s="99">
        <f t="shared" si="16"/>
        <v>-435600</v>
      </c>
      <c r="G284" s="99"/>
    </row>
    <row r="285" spans="1:11">
      <c r="A285" s="99" t="s">
        <v>4973</v>
      </c>
      <c r="B285" s="113">
        <v>-19800</v>
      </c>
      <c r="C285" s="99">
        <v>1</v>
      </c>
      <c r="D285" s="99">
        <f t="shared" si="14"/>
        <v>21</v>
      </c>
      <c r="E285" s="99">
        <f t="shared" si="15"/>
        <v>1</v>
      </c>
      <c r="F285" s="99">
        <f t="shared" si="16"/>
        <v>18800000</v>
      </c>
      <c r="G285" s="99"/>
      <c r="K285" t="s">
        <v>25</v>
      </c>
    </row>
    <row r="286" spans="1:11">
      <c r="A286" s="99" t="s">
        <v>4964</v>
      </c>
      <c r="B286" s="113">
        <v>940000</v>
      </c>
      <c r="C286" s="99">
        <v>0</v>
      </c>
      <c r="D286" s="99">
        <f t="shared" si="14"/>
        <v>20</v>
      </c>
      <c r="E286" s="99">
        <f t="shared" si="15"/>
        <v>0</v>
      </c>
      <c r="F286" s="99">
        <f t="shared" si="16"/>
        <v>-4020000</v>
      </c>
      <c r="G286" s="99"/>
    </row>
    <row r="287" spans="1:11">
      <c r="A287" s="99" t="s">
        <v>4964</v>
      </c>
      <c r="B287" s="113">
        <v>-201000</v>
      </c>
      <c r="C287" s="99">
        <v>1</v>
      </c>
      <c r="D287" s="99">
        <f t="shared" si="14"/>
        <v>20</v>
      </c>
      <c r="E287" s="99">
        <f t="shared" si="15"/>
        <v>0</v>
      </c>
      <c r="F287" s="99">
        <f t="shared" si="16"/>
        <v>-6418600</v>
      </c>
      <c r="G287" s="99"/>
    </row>
    <row r="288" spans="1:11">
      <c r="A288" s="99" t="s">
        <v>4969</v>
      </c>
      <c r="B288" s="113">
        <v>-320930</v>
      </c>
      <c r="C288" s="99">
        <v>3</v>
      </c>
      <c r="D288" s="99">
        <f t="shared" si="14"/>
        <v>19</v>
      </c>
      <c r="E288" s="99">
        <f t="shared" si="15"/>
        <v>0</v>
      </c>
      <c r="F288" s="99">
        <f t="shared" si="16"/>
        <v>-7600000</v>
      </c>
      <c r="G288" s="99"/>
    </row>
    <row r="289" spans="1:10">
      <c r="A289" s="99" t="s">
        <v>4970</v>
      </c>
      <c r="B289" s="113">
        <v>-400000</v>
      </c>
      <c r="C289" s="99">
        <v>1</v>
      </c>
      <c r="D289" s="99">
        <f t="shared" ref="D289:D313" si="17">D290+C289</f>
        <v>16</v>
      </c>
      <c r="E289" s="99">
        <f t="shared" ref="E289:E313" si="18">IF(B290&gt;0,1,0)</f>
        <v>0</v>
      </c>
      <c r="F289" s="99">
        <f t="shared" ref="F289:F313" si="19">B290*(D289-E289)</f>
        <v>-264000</v>
      </c>
      <c r="G289" s="99"/>
    </row>
    <row r="290" spans="1:10">
      <c r="A290" s="99" t="s">
        <v>4977</v>
      </c>
      <c r="B290" s="113">
        <v>-16500</v>
      </c>
      <c r="C290" s="99">
        <v>11</v>
      </c>
      <c r="D290" s="99">
        <f t="shared" si="17"/>
        <v>15</v>
      </c>
      <c r="E290" s="99">
        <f t="shared" si="18"/>
        <v>1</v>
      </c>
      <c r="F290" s="99">
        <f t="shared" si="19"/>
        <v>36400000</v>
      </c>
      <c r="G290" s="99"/>
    </row>
    <row r="291" spans="1:10">
      <c r="A291" s="99" t="s">
        <v>5000</v>
      </c>
      <c r="B291" s="113">
        <v>2600000</v>
      </c>
      <c r="C291" s="99">
        <v>2</v>
      </c>
      <c r="D291" s="99">
        <f t="shared" si="17"/>
        <v>4</v>
      </c>
      <c r="E291" s="99">
        <f t="shared" si="18"/>
        <v>0</v>
      </c>
      <c r="F291" s="99">
        <f t="shared" si="19"/>
        <v>-4680000</v>
      </c>
      <c r="G291" s="99"/>
      <c r="I291" t="s">
        <v>25</v>
      </c>
    </row>
    <row r="292" spans="1:10">
      <c r="A292" s="99" t="s">
        <v>5001</v>
      </c>
      <c r="B292" s="113">
        <v>-1170000</v>
      </c>
      <c r="C292" s="99">
        <v>0</v>
      </c>
      <c r="D292" s="99">
        <f t="shared" si="17"/>
        <v>2</v>
      </c>
      <c r="E292" s="99">
        <f t="shared" si="18"/>
        <v>0</v>
      </c>
      <c r="F292" s="99">
        <f t="shared" si="19"/>
        <v>-18000</v>
      </c>
      <c r="G292" s="99" t="s">
        <v>5002</v>
      </c>
      <c r="J292" t="s">
        <v>25</v>
      </c>
    </row>
    <row r="293" spans="1:10">
      <c r="A293" s="99" t="s">
        <v>5001</v>
      </c>
      <c r="B293" s="113">
        <v>-9000</v>
      </c>
      <c r="C293" s="99">
        <v>1</v>
      </c>
      <c r="D293" s="99">
        <f t="shared" si="17"/>
        <v>2</v>
      </c>
      <c r="E293" s="99">
        <f t="shared" si="18"/>
        <v>0</v>
      </c>
      <c r="F293" s="99">
        <f t="shared" si="19"/>
        <v>-2290000</v>
      </c>
      <c r="G293" s="99"/>
    </row>
    <row r="294" spans="1:10">
      <c r="A294" s="99" t="s">
        <v>5004</v>
      </c>
      <c r="B294" s="113">
        <v>-1145000</v>
      </c>
      <c r="C294" s="99">
        <v>1</v>
      </c>
      <c r="D294" s="99">
        <f t="shared" si="17"/>
        <v>1</v>
      </c>
      <c r="E294" s="99">
        <f t="shared" si="18"/>
        <v>0</v>
      </c>
      <c r="F294" s="99">
        <f t="shared" si="19"/>
        <v>0</v>
      </c>
      <c r="G294" s="99" t="s">
        <v>5005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N232" zoomScale="90" zoomScaleNormal="90" workbookViewId="0">
      <selection activeCell="P47" sqref="P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4876</v>
      </c>
      <c r="AT12" s="73" t="s">
        <v>4877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5001</v>
      </c>
      <c r="AT13" s="73" t="s">
        <v>5003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5004</v>
      </c>
      <c r="AT14" s="73" t="s">
        <v>5008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5037</v>
      </c>
      <c r="AT15" s="73" t="s">
        <v>5036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5040</v>
      </c>
      <c r="AT16" s="213" t="s">
        <v>5042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90</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471</v>
      </c>
      <c r="AM20" s="113">
        <f>AJ20*AL20</f>
        <v>8478000000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619785470.08657122</v>
      </c>
      <c r="M21" s="168" t="s">
        <v>4300</v>
      </c>
      <c r="N21" s="113">
        <f t="shared" ref="N21:N23" si="9">O21*P21</f>
        <v>390295469.10000002</v>
      </c>
      <c r="O21" s="99">
        <v>1626909</v>
      </c>
      <c r="P21" s="185">
        <f>P45</f>
        <v>239.9</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470</v>
      </c>
      <c r="AM21" s="113">
        <f t="shared" ref="AM21:AM120" si="11">AJ21*AL21</f>
        <v>1175000000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98'!D80</f>
        <v>-24528909</v>
      </c>
      <c r="M22" s="213" t="s">
        <v>4407</v>
      </c>
      <c r="N22" s="113">
        <f t="shared" si="9"/>
        <v>115245312</v>
      </c>
      <c r="O22" s="99">
        <v>161408</v>
      </c>
      <c r="P22" s="185">
        <f>P43</f>
        <v>714</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469</v>
      </c>
      <c r="AM22" s="113">
        <f t="shared" si="11"/>
        <v>3752000000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5119</v>
      </c>
      <c r="N23" s="113">
        <f t="shared" si="9"/>
        <v>62707.200000000004</v>
      </c>
      <c r="O23" s="99">
        <v>92</v>
      </c>
      <c r="P23" s="185">
        <f>P44</f>
        <v>681.6</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468</v>
      </c>
      <c r="AM23" s="113">
        <f t="shared" si="11"/>
        <v>-37230336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513177413.48657119</v>
      </c>
      <c r="G24" s="95">
        <f t="shared" si="0"/>
        <v>-232871068.10463256</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467</v>
      </c>
      <c r="AM24" s="113">
        <f t="shared" si="11"/>
        <v>77288500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455</v>
      </c>
      <c r="AM25" s="113">
        <f t="shared" si="11"/>
        <v>-13117798785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1393014</v>
      </c>
      <c r="O26" s="69">
        <v>1951</v>
      </c>
      <c r="P26" s="99">
        <f>P43</f>
        <v>714</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449</v>
      </c>
      <c r="AM26" s="113">
        <f t="shared" si="11"/>
        <v>8306500000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5119</v>
      </c>
      <c r="N27" s="113">
        <f t="shared" si="13"/>
        <v>62707.200000000004</v>
      </c>
      <c r="O27" s="69">
        <v>92</v>
      </c>
      <c r="P27" s="99">
        <f>P44</f>
        <v>681.6</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448</v>
      </c>
      <c r="AM27" s="113">
        <f t="shared" si="11"/>
        <v>-8310400000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83471285.799999997</v>
      </c>
      <c r="O28" s="69">
        <v>347942</v>
      </c>
      <c r="P28" s="99">
        <f>P45</f>
        <v>239.9</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447</v>
      </c>
      <c r="AM28" s="113">
        <f t="shared" si="11"/>
        <v>-29037567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442</v>
      </c>
      <c r="AM29" s="113">
        <f t="shared" si="11"/>
        <v>2828800000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441</v>
      </c>
      <c r="AM30" s="113">
        <f t="shared" si="11"/>
        <v>-74970000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-S149</f>
        <v>-619785470.08657122</v>
      </c>
      <c r="O31" s="96" t="s">
        <v>25</v>
      </c>
      <c r="P31" s="96"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436</v>
      </c>
      <c r="AM31" s="113">
        <f t="shared" si="11"/>
        <v>-2746800000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435</v>
      </c>
      <c r="AM32" s="113">
        <f t="shared" si="11"/>
        <v>-22626525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419</v>
      </c>
      <c r="AM33" s="113">
        <f t="shared" si="11"/>
        <v>8387290600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5052</v>
      </c>
      <c r="L34" s="117">
        <v>-47500000</v>
      </c>
      <c r="M34" s="73"/>
      <c r="N34" s="113"/>
      <c r="O34" s="96" t="s">
        <v>25</v>
      </c>
      <c r="P34" s="96" t="s">
        <v>25</v>
      </c>
      <c r="Q34" s="169">
        <v>164707</v>
      </c>
      <c r="R34" s="213" t="s">
        <v>4896</v>
      </c>
      <c r="S34" s="197">
        <f>S33-28</f>
        <v>94</v>
      </c>
      <c r="T34" s="213" t="s">
        <v>4897</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419</v>
      </c>
      <c r="AM34" s="113">
        <f t="shared" si="11"/>
        <v>425061254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O35" s="96"/>
      <c r="P35" s="96" t="s">
        <v>25</v>
      </c>
      <c r="Q35" s="169">
        <v>1204691</v>
      </c>
      <c r="R35" s="213" t="s">
        <v>4960</v>
      </c>
      <c r="S35" s="197">
        <f>S34-20</f>
        <v>74</v>
      </c>
      <c r="T35" s="213" t="s">
        <v>4961</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407</v>
      </c>
      <c r="AM35" s="113">
        <f t="shared" si="11"/>
        <v>146520000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5050</v>
      </c>
      <c r="N36" s="113">
        <v>-18000000</v>
      </c>
      <c r="O36" s="244" t="s">
        <v>25</v>
      </c>
      <c r="P36" s="114"/>
      <c r="Q36" s="169">
        <v>15011877</v>
      </c>
      <c r="R36" s="213" t="s">
        <v>4964</v>
      </c>
      <c r="S36" s="197">
        <f>S35-3</f>
        <v>71</v>
      </c>
      <c r="T36" s="213" t="s">
        <v>4968</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405</v>
      </c>
      <c r="AM36" s="113">
        <f t="shared" si="11"/>
        <v>-141750000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5051</v>
      </c>
      <c r="N37" s="113">
        <v>-47000000</v>
      </c>
      <c r="O37" s="96" t="s">
        <v>25</v>
      </c>
      <c r="P37" s="96" t="s">
        <v>25</v>
      </c>
      <c r="Q37" s="169">
        <v>3098904</v>
      </c>
      <c r="R37" s="213" t="s">
        <v>4977</v>
      </c>
      <c r="S37" s="197">
        <f>S36-5</f>
        <v>66</v>
      </c>
      <c r="T37" s="213" t="s">
        <v>4979</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405</v>
      </c>
      <c r="AM37" s="113">
        <f t="shared" si="11"/>
        <v>405000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4977</v>
      </c>
      <c r="S38" s="197">
        <f>S37</f>
        <v>66</v>
      </c>
      <c r="T38" s="213" t="s">
        <v>4980</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404</v>
      </c>
      <c r="AM38" s="113">
        <f t="shared" si="11"/>
        <v>13578440000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202</v>
      </c>
      <c r="P39" t="s">
        <v>25</v>
      </c>
      <c r="Q39" s="169">
        <v>100562</v>
      </c>
      <c r="R39" s="213" t="s">
        <v>4986</v>
      </c>
      <c r="S39" s="197">
        <f>S38-6</f>
        <v>60</v>
      </c>
      <c r="T39" s="213" t="s">
        <v>4987</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400</v>
      </c>
      <c r="AM39" s="113">
        <f t="shared" si="11"/>
        <v>-6240000000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3" t="s">
        <v>5087</v>
      </c>
      <c r="L40" s="117">
        <v>-9795000</v>
      </c>
      <c r="M40" s="168"/>
      <c r="N40" s="113"/>
      <c r="O40" s="99"/>
      <c r="P40" s="99"/>
      <c r="Q40" s="169">
        <v>198647697</v>
      </c>
      <c r="R40" s="213" t="s">
        <v>4990</v>
      </c>
      <c r="S40" s="197">
        <f>S39-2</f>
        <v>58</v>
      </c>
      <c r="T40" s="213" t="s">
        <v>5038</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397</v>
      </c>
      <c r="AM40" s="113">
        <f t="shared" si="11"/>
        <v>2977500000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5101</v>
      </c>
      <c r="L41" s="117">
        <v>-6570000</v>
      </c>
      <c r="M41" s="21" t="s">
        <v>4563</v>
      </c>
      <c r="N41" s="117">
        <f t="shared" ref="N41:N46" si="16">O41*P41</f>
        <v>69920</v>
      </c>
      <c r="O41" s="69">
        <v>50</v>
      </c>
      <c r="P41" s="69">
        <v>1398.4</v>
      </c>
      <c r="Q41" s="169">
        <v>118852</v>
      </c>
      <c r="R41" s="213" t="s">
        <v>5019</v>
      </c>
      <c r="S41" s="197">
        <f>S40-12</f>
        <v>46</v>
      </c>
      <c r="T41" s="213" t="s">
        <v>5020</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393</v>
      </c>
      <c r="AM41" s="113">
        <f t="shared" si="11"/>
        <v>-38514000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J42" s="114"/>
      <c r="K42" s="36" t="s">
        <v>5168</v>
      </c>
      <c r="L42" s="117">
        <f>-31884*P45</f>
        <v>-7648971.6000000006</v>
      </c>
      <c r="M42" s="21" t="s">
        <v>4389</v>
      </c>
      <c r="N42" s="117">
        <f t="shared" si="16"/>
        <v>0</v>
      </c>
      <c r="O42" s="69">
        <v>0</v>
      </c>
      <c r="P42" s="69">
        <v>4200</v>
      </c>
      <c r="Q42" s="169">
        <v>9986627</v>
      </c>
      <c r="R42" s="213" t="s">
        <v>5040</v>
      </c>
      <c r="S42" s="197">
        <f>S41-9</f>
        <v>37</v>
      </c>
      <c r="T42" s="213" t="s">
        <v>5045</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392</v>
      </c>
      <c r="AM42" s="113">
        <f t="shared" si="11"/>
        <v>-10192000000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4407</v>
      </c>
      <c r="N43" s="117">
        <f t="shared" si="16"/>
        <v>66706164</v>
      </c>
      <c r="O43" s="69">
        <v>93426</v>
      </c>
      <c r="P43" s="69">
        <v>714</v>
      </c>
      <c r="Q43" s="169">
        <v>499908</v>
      </c>
      <c r="R43" s="213" t="s">
        <v>5048</v>
      </c>
      <c r="S43" s="197">
        <f>S42-1</f>
        <v>36</v>
      </c>
      <c r="T43" s="213" t="s">
        <v>5053</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392</v>
      </c>
      <c r="AM43" s="113">
        <f t="shared" si="11"/>
        <v>9800000000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5165</v>
      </c>
      <c r="L44" s="117">
        <v>-17038253</v>
      </c>
      <c r="M44" s="19" t="s">
        <v>5119</v>
      </c>
      <c r="N44" s="117">
        <f t="shared" si="16"/>
        <v>62707.200000000004</v>
      </c>
      <c r="O44" s="69">
        <v>92</v>
      </c>
      <c r="P44" s="69">
        <v>681.6</v>
      </c>
      <c r="Q44" s="169">
        <v>850188</v>
      </c>
      <c r="R44" s="213" t="s">
        <v>5056</v>
      </c>
      <c r="S44" s="197">
        <f>S43-1</f>
        <v>35</v>
      </c>
      <c r="T44" s="213" t="s">
        <v>5057</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391</v>
      </c>
      <c r="AM44" s="113">
        <f t="shared" si="11"/>
        <v>43010000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3" t="s">
        <v>5164</v>
      </c>
      <c r="L45" s="117">
        <f>230207*P45</f>
        <v>55226659.300000004</v>
      </c>
      <c r="M45" s="19" t="s">
        <v>4179</v>
      </c>
      <c r="N45" s="113">
        <f t="shared" si="16"/>
        <v>735471985.60000002</v>
      </c>
      <c r="O45" s="99">
        <v>3065744</v>
      </c>
      <c r="P45" s="99">
        <v>239.9</v>
      </c>
      <c r="Q45" s="169">
        <v>119890</v>
      </c>
      <c r="R45" s="213" t="s">
        <v>5070</v>
      </c>
      <c r="S45" s="197">
        <f>S44-6</f>
        <v>29</v>
      </c>
      <c r="T45" s="213" t="s">
        <v>5072</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390</v>
      </c>
      <c r="AM45" s="113">
        <f t="shared" si="11"/>
        <v>148200000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425000</v>
      </c>
      <c r="Q46" s="169">
        <v>102858</v>
      </c>
      <c r="R46" s="213" t="s">
        <v>5090</v>
      </c>
      <c r="S46" s="197">
        <f>S45-6</f>
        <v>23</v>
      </c>
      <c r="T46" s="213" t="s">
        <v>5093</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383</v>
      </c>
      <c r="AM46" s="113">
        <f t="shared" si="11"/>
        <v>172350000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5090</v>
      </c>
      <c r="S47" s="197">
        <f>S46</f>
        <v>23</v>
      </c>
      <c r="T47" s="213" t="s">
        <v>5094</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377</v>
      </c>
      <c r="AM47" s="113">
        <f t="shared" si="11"/>
        <v>1055600000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5097</v>
      </c>
      <c r="S48" s="197">
        <f>S47-2</f>
        <v>21</v>
      </c>
      <c r="T48" s="213" t="s">
        <v>5099</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376</v>
      </c>
      <c r="AM48" s="113">
        <f t="shared" si="11"/>
        <v>-564000000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1153</v>
      </c>
      <c r="N49" s="117">
        <v>5282</v>
      </c>
      <c r="O49" s="96" t="s">
        <v>25</v>
      </c>
      <c r="P49" t="s">
        <v>25</v>
      </c>
      <c r="Q49" s="169">
        <v>29111</v>
      </c>
      <c r="R49" s="213" t="s">
        <v>5117</v>
      </c>
      <c r="S49" s="197">
        <f>S48-7</f>
        <v>14</v>
      </c>
      <c r="T49" s="213" t="s">
        <v>5120</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376</v>
      </c>
      <c r="AM49" s="113">
        <f t="shared" si="11"/>
        <v>1146800000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c r="N50" s="113"/>
      <c r="O50" s="115"/>
      <c r="P50" s="115"/>
      <c r="Q50" s="169">
        <v>241238</v>
      </c>
      <c r="R50" s="213" t="s">
        <v>5130</v>
      </c>
      <c r="S50" s="197">
        <f>S49-10</f>
        <v>4</v>
      </c>
      <c r="T50" s="213" t="s">
        <v>5132</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373</v>
      </c>
      <c r="AM50" s="113">
        <f t="shared" si="11"/>
        <v>-3095755276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99"/>
      <c r="P51" s="99"/>
      <c r="Q51" s="169">
        <v>23124984</v>
      </c>
      <c r="R51" s="213" t="s">
        <v>5138</v>
      </c>
      <c r="S51" s="197">
        <f>S50-2</f>
        <v>2</v>
      </c>
      <c r="T51" s="213" t="s">
        <v>5141</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371</v>
      </c>
      <c r="AM51" s="113">
        <f t="shared" si="11"/>
        <v>1855000000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5142</v>
      </c>
      <c r="S52" s="197">
        <f>S51-1</f>
        <v>1</v>
      </c>
      <c r="T52" s="213" t="s">
        <v>5144</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357</v>
      </c>
      <c r="AM52" s="113">
        <f t="shared" si="11"/>
        <v>-32130000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5136</v>
      </c>
      <c r="S53" s="197">
        <f>S52-1</f>
        <v>0</v>
      </c>
      <c r="T53" s="213" t="s">
        <v>5145</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356</v>
      </c>
      <c r="AM53" s="113">
        <f t="shared" si="11"/>
        <v>1993600000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-S150</f>
        <v>-20378249.837089688</v>
      </c>
      <c r="Q54" s="169">
        <v>399924</v>
      </c>
      <c r="R54" s="213" t="s">
        <v>5158</v>
      </c>
      <c r="S54" s="197">
        <f>S53-10</f>
        <v>-10</v>
      </c>
      <c r="T54" s="213" t="s">
        <v>5159</v>
      </c>
      <c r="U54" s="213">
        <v>237.8</v>
      </c>
      <c r="V54" s="213">
        <f t="shared" si="6"/>
        <v>239.59034082191783</v>
      </c>
      <c r="W54" s="32">
        <f t="shared" si="14"/>
        <v>244.3821476383562</v>
      </c>
      <c r="X54" s="32">
        <f t="shared" si="15"/>
        <v>249.17395445479457</v>
      </c>
      <c r="Y54" t="s">
        <v>25</v>
      </c>
      <c r="AH54" s="99">
        <v>35</v>
      </c>
      <c r="AI54" s="113" t="s">
        <v>3981</v>
      </c>
      <c r="AJ54" s="113">
        <v>750000</v>
      </c>
      <c r="AK54" s="99">
        <v>2</v>
      </c>
      <c r="AL54" s="99">
        <f t="shared" si="10"/>
        <v>352</v>
      </c>
      <c r="AM54" s="113">
        <f t="shared" si="11"/>
        <v>264000000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350</v>
      </c>
      <c r="AM55" s="170">
        <f t="shared" si="11"/>
        <v>-1484700000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Q56" s="169">
        <f>SUM(N21:N23)-SUM(Q20:Q55)</f>
        <v>91305872.300000012</v>
      </c>
      <c r="R56" s="168"/>
      <c r="S56" s="168" t="s">
        <v>25</v>
      </c>
      <c r="T56" s="168"/>
      <c r="U56" s="168"/>
      <c r="V56" s="168"/>
      <c r="W56" s="32"/>
      <c r="X56" s="32"/>
      <c r="Y56" s="96" t="s">
        <v>25</v>
      </c>
      <c r="AH56" s="99">
        <v>37</v>
      </c>
      <c r="AI56" s="113" t="s">
        <v>3991</v>
      </c>
      <c r="AJ56" s="113">
        <v>4100000</v>
      </c>
      <c r="AK56" s="99">
        <v>0</v>
      </c>
      <c r="AL56" s="99">
        <f t="shared" si="10"/>
        <v>348</v>
      </c>
      <c r="AM56" s="113">
        <f t="shared" si="11"/>
        <v>1426800000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513177413.48657119</v>
      </c>
      <c r="M57" s="168"/>
      <c r="N57" s="113">
        <f>SUM(N16:N56)</f>
        <v>692574913.17633915</v>
      </c>
      <c r="R57" s="115"/>
      <c r="S57" s="115" t="s">
        <v>25</v>
      </c>
      <c r="T57" s="122" t="s">
        <v>25</v>
      </c>
      <c r="U57" s="115" t="s">
        <v>25</v>
      </c>
      <c r="V57" s="115" t="s">
        <v>25</v>
      </c>
      <c r="W57" s="194" t="s">
        <v>25</v>
      </c>
      <c r="X57" s="194"/>
      <c r="AH57" s="99">
        <v>38</v>
      </c>
      <c r="AI57" s="113" t="s">
        <v>3997</v>
      </c>
      <c r="AJ57" s="113">
        <v>4100000</v>
      </c>
      <c r="AK57" s="99">
        <v>1</v>
      </c>
      <c r="AL57" s="99">
        <f t="shared" si="10"/>
        <v>348</v>
      </c>
      <c r="AM57" s="113">
        <f t="shared" si="11"/>
        <v>1426800000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96"/>
      <c r="R58" s="115"/>
      <c r="S58" s="115"/>
      <c r="T58" s="115" t="s">
        <v>25</v>
      </c>
      <c r="U58" s="115" t="s">
        <v>25</v>
      </c>
      <c r="V58" s="115"/>
      <c r="W58" s="194"/>
      <c r="X58" s="194" t="s">
        <v>25</v>
      </c>
      <c r="Y58" t="s">
        <v>25</v>
      </c>
      <c r="AH58" s="99">
        <v>39</v>
      </c>
      <c r="AI58" s="113" t="s">
        <v>4006</v>
      </c>
      <c r="AJ58" s="113">
        <v>790000</v>
      </c>
      <c r="AK58" s="99">
        <v>15</v>
      </c>
      <c r="AL58" s="99">
        <f t="shared" si="10"/>
        <v>347</v>
      </c>
      <c r="AM58" s="113">
        <f t="shared" si="11"/>
        <v>274130000</v>
      </c>
      <c r="AN58" s="99"/>
    </row>
    <row r="59" spans="1:45">
      <c r="A59" s="63">
        <v>1400</v>
      </c>
      <c r="B59" s="11">
        <v>57</v>
      </c>
      <c r="C59" s="50">
        <f t="shared" si="4"/>
        <v>5655009.1360314842</v>
      </c>
      <c r="D59" s="3">
        <f t="shared" si="5"/>
        <v>4593726.5995433833</v>
      </c>
      <c r="E59" s="3">
        <f t="shared" si="12"/>
        <v>604717069.49413705</v>
      </c>
      <c r="F59" s="3"/>
      <c r="G59" s="11"/>
      <c r="H59" s="11"/>
      <c r="K59" s="56" t="s">
        <v>716</v>
      </c>
      <c r="L59" s="1">
        <f>L57+N7</f>
        <v>583177413.48657119</v>
      </c>
      <c r="M59" s="113"/>
      <c r="N59" s="168"/>
      <c r="O59" s="115"/>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332</v>
      </c>
      <c r="AM59" s="172">
        <f t="shared" si="11"/>
        <v>-1283180000</v>
      </c>
      <c r="AN59" s="171" t="s">
        <v>4063</v>
      </c>
    </row>
    <row r="60" spans="1:45" ht="30">
      <c r="A60" s="63">
        <v>1400</v>
      </c>
      <c r="B60" s="11">
        <v>58</v>
      </c>
      <c r="C60" s="3">
        <f t="shared" si="4"/>
        <v>5711559.227391799</v>
      </c>
      <c r="D60" s="3">
        <f t="shared" si="5"/>
        <v>4639663.8655388169</v>
      </c>
      <c r="E60" s="3">
        <f t="shared" si="12"/>
        <v>617883306.24587286</v>
      </c>
      <c r="F60" s="3"/>
      <c r="G60" s="11"/>
      <c r="H60" s="11"/>
      <c r="O60" s="96"/>
      <c r="P60" s="96"/>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326</v>
      </c>
      <c r="AM60" s="113">
        <f t="shared" si="11"/>
        <v>6128800000</v>
      </c>
      <c r="AN60" s="20"/>
    </row>
    <row r="61" spans="1:45">
      <c r="A61" s="63">
        <v>1400</v>
      </c>
      <c r="B61" s="11">
        <v>59</v>
      </c>
      <c r="C61" s="3">
        <f t="shared" si="4"/>
        <v>5768674.819665717</v>
      </c>
      <c r="D61" s="3">
        <f t="shared" si="5"/>
        <v>4686060.5041942047</v>
      </c>
      <c r="E61" s="3">
        <f t="shared" si="12"/>
        <v>631323586.68626177</v>
      </c>
      <c r="F61" s="3"/>
      <c r="G61" s="11"/>
      <c r="H61" s="11"/>
      <c r="J61">
        <v>32813103</v>
      </c>
      <c r="K61">
        <v>134410</v>
      </c>
      <c r="M61" s="25"/>
      <c r="O61" t="s">
        <v>25</v>
      </c>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323</v>
      </c>
      <c r="AM61" s="113">
        <f t="shared" si="11"/>
        <v>161500000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f>J62*K61/J61</f>
        <v>64617.405690037907</v>
      </c>
      <c r="M62" s="25" t="s">
        <v>4080</v>
      </c>
      <c r="N62" s="96"/>
      <c r="O62" s="96"/>
      <c r="P62" s="115"/>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322</v>
      </c>
      <c r="AM62" s="113">
        <f t="shared" si="11"/>
        <v>64400000</v>
      </c>
      <c r="AN62" s="20"/>
    </row>
    <row r="63" spans="1:45">
      <c r="E63" s="26"/>
      <c r="J63">
        <f>J61-J62</f>
        <v>17038253</v>
      </c>
      <c r="K63">
        <f>K61-K62</f>
        <v>69792.594309962093</v>
      </c>
      <c r="M63" s="177"/>
      <c r="N63" s="96"/>
      <c r="O63" s="96"/>
      <c r="P63" s="115"/>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319</v>
      </c>
      <c r="AM63" s="113">
        <f t="shared" si="11"/>
        <v>319000000</v>
      </c>
      <c r="AN63" s="20"/>
    </row>
    <row r="64" spans="1:45">
      <c r="E64" s="26"/>
      <c r="M64" s="96" t="s">
        <v>4799</v>
      </c>
      <c r="N64" s="96"/>
      <c r="O64" s="96"/>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316</v>
      </c>
      <c r="AM64" s="113">
        <f t="shared" si="11"/>
        <v>410800000</v>
      </c>
      <c r="AN64" s="20"/>
    </row>
    <row r="65" spans="1:40">
      <c r="M65" s="122" t="s">
        <v>4408</v>
      </c>
      <c r="O65" s="114"/>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316</v>
      </c>
      <c r="AM65" s="113">
        <f t="shared" si="11"/>
        <v>314420000</v>
      </c>
      <c r="AN65" s="20"/>
    </row>
    <row r="66" spans="1:40">
      <c r="M66" s="122" t="s">
        <v>4501</v>
      </c>
      <c r="N66" s="96"/>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314</v>
      </c>
      <c r="AM66" s="113">
        <f t="shared" si="11"/>
        <v>4082000000</v>
      </c>
      <c r="AN66" s="20"/>
    </row>
    <row r="67" spans="1:40">
      <c r="A67" t="s">
        <v>25</v>
      </c>
      <c r="F67" t="s">
        <v>310</v>
      </c>
      <c r="G67" t="s">
        <v>4099</v>
      </c>
      <c r="M67" s="122" t="s">
        <v>4571</v>
      </c>
      <c r="N67" s="96"/>
      <c r="P67" t="s">
        <v>25</v>
      </c>
      <c r="Q67" s="169">
        <v>19918023</v>
      </c>
      <c r="R67" s="5" t="s">
        <v>4867</v>
      </c>
      <c r="S67" s="197">
        <f>S66-75</f>
        <v>108</v>
      </c>
      <c r="T67" s="189" t="s">
        <v>4870</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312</v>
      </c>
      <c r="AM67" s="113">
        <f t="shared" si="11"/>
        <v>-967200000</v>
      </c>
      <c r="AN67" s="20"/>
    </row>
    <row r="68" spans="1:40" ht="30">
      <c r="F68" t="s">
        <v>4103</v>
      </c>
      <c r="G68" t="s">
        <v>4098</v>
      </c>
      <c r="K68" s="212" t="s">
        <v>4735</v>
      </c>
      <c r="L68" s="22" t="s">
        <v>4711</v>
      </c>
      <c r="M68" s="206" t="s">
        <v>4690</v>
      </c>
      <c r="N68" s="96"/>
      <c r="P68" s="115"/>
      <c r="Q68" s="169">
        <v>1200301</v>
      </c>
      <c r="R68" s="19" t="s">
        <v>4960</v>
      </c>
      <c r="S68" s="197">
        <f>S67-34</f>
        <v>74</v>
      </c>
      <c r="T68" s="189" t="s">
        <v>4962</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309</v>
      </c>
      <c r="AM68" s="113">
        <f t="shared" si="11"/>
        <v>14102760000</v>
      </c>
      <c r="AN68" s="20"/>
    </row>
    <row r="69" spans="1:40" ht="21">
      <c r="F69" t="s">
        <v>4104</v>
      </c>
      <c r="G69" t="s">
        <v>4100</v>
      </c>
      <c r="K69" t="s">
        <v>4736</v>
      </c>
      <c r="M69" s="260" t="s">
        <v>5065</v>
      </c>
      <c r="N69" s="96"/>
      <c r="P69" s="115" t="s">
        <v>25</v>
      </c>
      <c r="Q69" s="169">
        <v>6135206</v>
      </c>
      <c r="R69" s="19" t="s">
        <v>4990</v>
      </c>
      <c r="S69" s="197">
        <f>S68-16</f>
        <v>58</v>
      </c>
      <c r="T69" s="189" t="s">
        <v>4991</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308</v>
      </c>
      <c r="AM69" s="113">
        <f t="shared" si="11"/>
        <v>10318000000</v>
      </c>
      <c r="AN69" s="20"/>
    </row>
    <row r="70" spans="1:40">
      <c r="G70" t="s">
        <v>4101</v>
      </c>
      <c r="K70" t="s">
        <v>4574</v>
      </c>
      <c r="L70" s="96"/>
      <c r="M70" s="122"/>
      <c r="O70" t="s">
        <v>25</v>
      </c>
      <c r="P70" s="115"/>
      <c r="Q70" s="169">
        <v>104578</v>
      </c>
      <c r="R70" s="19" t="s">
        <v>5014</v>
      </c>
      <c r="S70" s="197">
        <f>S69-9</f>
        <v>49</v>
      </c>
      <c r="T70" s="189" t="s">
        <v>5015</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307</v>
      </c>
      <c r="AM70" s="117">
        <f t="shared" si="11"/>
        <v>3684000000</v>
      </c>
      <c r="AN70" s="20"/>
    </row>
    <row r="71" spans="1:40">
      <c r="G71" t="s">
        <v>4102</v>
      </c>
      <c r="K71" t="s">
        <v>4800</v>
      </c>
      <c r="M71" s="96">
        <f>O45+O21+O28-O51</f>
        <v>5040595</v>
      </c>
      <c r="N71" s="113">
        <f>M71*P45</f>
        <v>1209238740.5</v>
      </c>
      <c r="P71" s="115"/>
      <c r="Q71" s="169">
        <v>119253</v>
      </c>
      <c r="R71" s="19" t="s">
        <v>5019</v>
      </c>
      <c r="S71" s="197">
        <f>S70-3</f>
        <v>46</v>
      </c>
      <c r="T71" s="189" t="s">
        <v>5021</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306</v>
      </c>
      <c r="AM71" s="117">
        <f t="shared" si="11"/>
        <v>4743000000</v>
      </c>
      <c r="AN71" s="20"/>
    </row>
    <row r="72" spans="1:40">
      <c r="G72" t="s">
        <v>4106</v>
      </c>
      <c r="K72" t="s">
        <v>4801</v>
      </c>
      <c r="M72" t="s">
        <v>4266</v>
      </c>
      <c r="P72" s="115"/>
      <c r="Q72" s="169">
        <v>30004376</v>
      </c>
      <c r="R72" s="19" t="s">
        <v>5040</v>
      </c>
      <c r="S72" s="197">
        <f>S71-9</f>
        <v>37</v>
      </c>
      <c r="T72" s="189" t="s">
        <v>5041</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302</v>
      </c>
      <c r="AM72" s="117">
        <f t="shared" si="11"/>
        <v>45300000</v>
      </c>
      <c r="AN72" s="20"/>
    </row>
    <row r="73" spans="1:40">
      <c r="G73" t="s">
        <v>4105</v>
      </c>
      <c r="K73" t="s">
        <v>4802</v>
      </c>
      <c r="M73" t="s">
        <v>4576</v>
      </c>
      <c r="N73" t="s">
        <v>25</v>
      </c>
      <c r="P73" s="115"/>
      <c r="Q73" s="169">
        <v>119980</v>
      </c>
      <c r="R73" s="19" t="s">
        <v>5070</v>
      </c>
      <c r="S73" s="197">
        <f>S72-8</f>
        <v>29</v>
      </c>
      <c r="T73" s="189" t="s">
        <v>5073</v>
      </c>
      <c r="U73" s="213">
        <v>211</v>
      </c>
      <c r="V73" s="213">
        <f t="shared" si="17"/>
        <v>218.90122739726027</v>
      </c>
      <c r="W73" s="32">
        <f t="shared" si="18"/>
        <v>223.27925194520549</v>
      </c>
      <c r="X73" s="32">
        <f t="shared" si="19"/>
        <v>227.6572764931507</v>
      </c>
      <c r="AH73" s="179">
        <v>53</v>
      </c>
      <c r="AI73" s="180" t="s">
        <v>4172</v>
      </c>
      <c r="AJ73" s="180">
        <v>29000000</v>
      </c>
      <c r="AK73" s="179">
        <v>15</v>
      </c>
      <c r="AL73" s="179">
        <f t="shared" si="20"/>
        <v>301</v>
      </c>
      <c r="AM73" s="180">
        <f t="shared" si="11"/>
        <v>8729000000</v>
      </c>
      <c r="AN73" s="179" t="s">
        <v>4185</v>
      </c>
    </row>
    <row r="74" spans="1:40" ht="26.25">
      <c r="K74" t="s">
        <v>4534</v>
      </c>
      <c r="M74" s="257"/>
      <c r="P74" s="115"/>
      <c r="Q74" s="169">
        <v>106716</v>
      </c>
      <c r="R74" s="19" t="s">
        <v>5090</v>
      </c>
      <c r="S74" s="197">
        <f>S73-6</f>
        <v>23</v>
      </c>
      <c r="T74" s="189" t="s">
        <v>5092</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286</v>
      </c>
      <c r="AM74" s="117">
        <f t="shared" si="11"/>
        <v>-37180000</v>
      </c>
      <c r="AN74" s="20" t="s">
        <v>4211</v>
      </c>
    </row>
    <row r="75" spans="1:40">
      <c r="G75" s="48" t="s">
        <v>788</v>
      </c>
      <c r="H75" s="201" t="s">
        <v>476</v>
      </c>
      <c r="K75" t="s">
        <v>4578</v>
      </c>
      <c r="M75" t="s">
        <v>5033</v>
      </c>
      <c r="P75" s="115"/>
      <c r="Q75" s="169">
        <v>1324444</v>
      </c>
      <c r="R75" s="19" t="s">
        <v>5090</v>
      </c>
      <c r="S75" s="197">
        <f>S74</f>
        <v>23</v>
      </c>
      <c r="T75" s="189" t="s">
        <v>5094</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279</v>
      </c>
      <c r="AM75" s="117">
        <f>AJ75*AL75</f>
        <v>64728000</v>
      </c>
      <c r="AN75" s="20" t="s">
        <v>4259</v>
      </c>
    </row>
    <row r="76" spans="1:40">
      <c r="D76" s="3"/>
      <c r="E76" s="11" t="s">
        <v>304</v>
      </c>
      <c r="G76" s="47">
        <v>700000</v>
      </c>
      <c r="H76" s="201" t="s">
        <v>1039</v>
      </c>
      <c r="K76" t="s">
        <v>4533</v>
      </c>
      <c r="M76" s="262" t="s">
        <v>5076</v>
      </c>
      <c r="P76" s="115"/>
      <c r="Q76" s="169">
        <v>29111</v>
      </c>
      <c r="R76" s="19" t="s">
        <v>5117</v>
      </c>
      <c r="S76" s="197">
        <f>S75-9</f>
        <v>14</v>
      </c>
      <c r="T76" s="189" t="s">
        <v>5120</v>
      </c>
      <c r="U76" s="213">
        <v>315</v>
      </c>
      <c r="V76" s="213">
        <f t="shared" si="17"/>
        <v>323.17101369863019</v>
      </c>
      <c r="W76" s="32">
        <f t="shared" si="18"/>
        <v>329.63443397260278</v>
      </c>
      <c r="X76" s="32">
        <f t="shared" si="19"/>
        <v>336.09785424657542</v>
      </c>
      <c r="Y76" s="122" t="s">
        <v>25</v>
      </c>
      <c r="AH76" s="20">
        <v>56</v>
      </c>
      <c r="AI76" s="117" t="s">
        <v>4268</v>
      </c>
      <c r="AJ76" s="117">
        <v>-170000</v>
      </c>
      <c r="AK76" s="20">
        <v>3</v>
      </c>
      <c r="AL76" s="99">
        <f t="shared" si="20"/>
        <v>277</v>
      </c>
      <c r="AM76" s="117">
        <f t="shared" si="11"/>
        <v>-47090000</v>
      </c>
      <c r="AN76" s="20"/>
    </row>
    <row r="77" spans="1:40">
      <c r="D77" s="1" t="s">
        <v>305</v>
      </c>
      <c r="E77" s="1">
        <v>70000</v>
      </c>
      <c r="G77" s="47">
        <v>500000</v>
      </c>
      <c r="H77" s="201" t="s">
        <v>479</v>
      </c>
      <c r="K77" s="22" t="s">
        <v>4242</v>
      </c>
      <c r="M77" s="262" t="s">
        <v>5077</v>
      </c>
      <c r="O77" t="s">
        <v>25</v>
      </c>
      <c r="P77" t="s">
        <v>25</v>
      </c>
      <c r="Q77" s="169">
        <v>240923</v>
      </c>
      <c r="R77" s="19" t="s">
        <v>5130</v>
      </c>
      <c r="S77" s="197">
        <f>S76-10</f>
        <v>4</v>
      </c>
      <c r="T77" s="189" t="s">
        <v>5133</v>
      </c>
      <c r="U77" s="213">
        <v>691.1</v>
      </c>
      <c r="V77" s="213">
        <f t="shared" si="17"/>
        <v>703.72535561643849</v>
      </c>
      <c r="W77" s="32">
        <f t="shared" si="18"/>
        <v>717.79986272876727</v>
      </c>
      <c r="X77" s="32">
        <f t="shared" si="19"/>
        <v>731.87436984109604</v>
      </c>
      <c r="Y77" t="s">
        <v>25</v>
      </c>
      <c r="AA77" t="s">
        <v>25</v>
      </c>
      <c r="AH77" s="20">
        <v>57</v>
      </c>
      <c r="AI77" s="117" t="s">
        <v>4282</v>
      </c>
      <c r="AJ77" s="117">
        <v>-300000</v>
      </c>
      <c r="AK77" s="20">
        <v>3</v>
      </c>
      <c r="AL77" s="99">
        <f t="shared" si="20"/>
        <v>274</v>
      </c>
      <c r="AM77" s="117">
        <f t="shared" si="11"/>
        <v>-82200000</v>
      </c>
      <c r="AN77" s="20"/>
    </row>
    <row r="78" spans="1:40">
      <c r="D78" s="1" t="s">
        <v>321</v>
      </c>
      <c r="E78" s="1">
        <v>100000</v>
      </c>
      <c r="G78" s="47">
        <v>180000</v>
      </c>
      <c r="H78" s="201" t="s">
        <v>558</v>
      </c>
      <c r="K78" t="s">
        <v>4530</v>
      </c>
      <c r="Q78" s="169">
        <v>1408805</v>
      </c>
      <c r="R78" s="19" t="s">
        <v>5138</v>
      </c>
      <c r="S78" s="197">
        <f>S77-2</f>
        <v>2</v>
      </c>
      <c r="T78" s="189" t="s">
        <v>5140</v>
      </c>
      <c r="U78" s="213">
        <v>235.2</v>
      </c>
      <c r="V78" s="213">
        <f t="shared" si="17"/>
        <v>239.13589479452057</v>
      </c>
      <c r="W78" s="32">
        <f t="shared" si="18"/>
        <v>243.91861269041098</v>
      </c>
      <c r="X78" s="32">
        <f t="shared" si="19"/>
        <v>248.7013305863014</v>
      </c>
      <c r="AD78" s="115"/>
      <c r="AE78" s="115"/>
      <c r="AH78" s="20">
        <v>58</v>
      </c>
      <c r="AI78" s="117" t="s">
        <v>4291</v>
      </c>
      <c r="AJ78" s="117">
        <v>-11400000</v>
      </c>
      <c r="AK78" s="20">
        <v>13</v>
      </c>
      <c r="AL78" s="99">
        <f t="shared" ref="AL78:AL83" si="21">AL79+AK78</f>
        <v>271</v>
      </c>
      <c r="AM78" s="117">
        <f t="shared" si="11"/>
        <v>-3089400000</v>
      </c>
      <c r="AN78" s="20"/>
    </row>
    <row r="79" spans="1:40">
      <c r="D79" s="1" t="s">
        <v>306</v>
      </c>
      <c r="E79" s="1">
        <v>80000</v>
      </c>
      <c r="G79" s="47">
        <v>0</v>
      </c>
      <c r="H79" s="201" t="s">
        <v>784</v>
      </c>
      <c r="K79" t="s">
        <v>4295</v>
      </c>
      <c r="Q79" s="169">
        <v>4507053</v>
      </c>
      <c r="R79" s="19" t="s">
        <v>5142</v>
      </c>
      <c r="S79" s="197">
        <f>S78-1</f>
        <v>1</v>
      </c>
      <c r="T79" s="189" t="s">
        <v>5143</v>
      </c>
      <c r="U79" s="213">
        <v>225</v>
      </c>
      <c r="V79" s="213">
        <f t="shared" si="17"/>
        <v>228.59260273972603</v>
      </c>
      <c r="W79" s="32">
        <f t="shared" si="18"/>
        <v>233.16445479452057</v>
      </c>
      <c r="X79" s="32">
        <f t="shared" si="19"/>
        <v>237.73630684931507</v>
      </c>
      <c r="AC79" s="115"/>
      <c r="AD79" s="115"/>
      <c r="AE79" s="115"/>
      <c r="AF79"/>
      <c r="AH79" s="20">
        <v>59</v>
      </c>
      <c r="AI79" s="117" t="s">
        <v>4346</v>
      </c>
      <c r="AJ79" s="117">
        <v>-10000000</v>
      </c>
      <c r="AK79" s="20">
        <v>1</v>
      </c>
      <c r="AL79" s="99">
        <f t="shared" si="21"/>
        <v>258</v>
      </c>
      <c r="AM79" s="117">
        <f>AJ79*AL79</f>
        <v>-2580000000</v>
      </c>
      <c r="AN79" s="20"/>
    </row>
    <row r="80" spans="1:40">
      <c r="D80" s="31" t="s">
        <v>307</v>
      </c>
      <c r="E80" s="1">
        <v>150000</v>
      </c>
      <c r="G80" s="47">
        <v>0</v>
      </c>
      <c r="H80" s="201" t="s">
        <v>785</v>
      </c>
      <c r="J80" t="s">
        <v>25</v>
      </c>
      <c r="K80" t="s">
        <v>25</v>
      </c>
      <c r="Q80" s="169">
        <v>1927152</v>
      </c>
      <c r="R80" s="19" t="s">
        <v>5136</v>
      </c>
      <c r="S80" s="197">
        <f>S79-1</f>
        <v>0</v>
      </c>
      <c r="T80" s="189" t="s">
        <v>5146</v>
      </c>
      <c r="U80" s="213">
        <v>232.6</v>
      </c>
      <c r="V80" s="213">
        <f t="shared" si="17"/>
        <v>236.13552000000001</v>
      </c>
      <c r="W80" s="32">
        <f t="shared" si="18"/>
        <v>240.85823040000002</v>
      </c>
      <c r="X80" s="32">
        <f t="shared" si="19"/>
        <v>245.58094080000004</v>
      </c>
      <c r="AC80" s="115"/>
      <c r="AD80" s="115"/>
      <c r="AE80" s="115"/>
      <c r="AF80"/>
      <c r="AH80" s="20">
        <v>60</v>
      </c>
      <c r="AI80" s="117" t="s">
        <v>4347</v>
      </c>
      <c r="AJ80" s="117">
        <v>-2450000</v>
      </c>
      <c r="AK80" s="20">
        <v>5</v>
      </c>
      <c r="AL80" s="99">
        <f t="shared" si="21"/>
        <v>257</v>
      </c>
      <c r="AM80" s="117">
        <f>AJ80*AL80</f>
        <v>-629650000</v>
      </c>
      <c r="AN80" s="20"/>
    </row>
    <row r="81" spans="4:52">
      <c r="D81" s="31" t="s">
        <v>308</v>
      </c>
      <c r="E81" s="1">
        <v>300000</v>
      </c>
      <c r="G81" s="47">
        <v>500000</v>
      </c>
      <c r="H81" s="48" t="s">
        <v>786</v>
      </c>
      <c r="K81" s="96"/>
      <c r="M81" s="193" t="s">
        <v>4529</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252</v>
      </c>
      <c r="AM81" s="117">
        <f t="shared" si="11"/>
        <v>-114932412</v>
      </c>
      <c r="AN81" s="20"/>
    </row>
    <row r="82" spans="4:52">
      <c r="D82" s="31" t="s">
        <v>309</v>
      </c>
      <c r="E82" s="1">
        <v>100000</v>
      </c>
      <c r="G82" s="47">
        <v>75000</v>
      </c>
      <c r="H82" s="48" t="s">
        <v>787</v>
      </c>
      <c r="K82" s="96"/>
      <c r="M82" t="s">
        <v>4530</v>
      </c>
      <c r="Q82" s="113">
        <f>SUM(N26:N28)-SUM(Q61:Q81)</f>
        <v>14771725</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251</v>
      </c>
      <c r="AM82" s="117">
        <f t="shared" si="11"/>
        <v>-125500000</v>
      </c>
      <c r="AN82" s="20"/>
      <c r="AO82" t="s">
        <v>25</v>
      </c>
      <c r="AU82"/>
      <c r="AW82" t="s">
        <v>25</v>
      </c>
    </row>
    <row r="83" spans="4:52">
      <c r="D83" s="31" t="s">
        <v>310</v>
      </c>
      <c r="E83" s="1">
        <v>200000</v>
      </c>
      <c r="G83" s="47">
        <v>0</v>
      </c>
      <c r="H83" s="48" t="s">
        <v>789</v>
      </c>
      <c r="K83" s="96"/>
      <c r="M83" t="s">
        <v>4533</v>
      </c>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249</v>
      </c>
      <c r="AM83" s="117">
        <f t="shared" si="11"/>
        <v>-1552358130</v>
      </c>
      <c r="AN83" s="20"/>
      <c r="AU83"/>
    </row>
    <row r="84" spans="4:52">
      <c r="D84" s="18" t="s">
        <v>311</v>
      </c>
      <c r="E84" s="18">
        <v>300000</v>
      </c>
      <c r="G84" s="47">
        <v>500000</v>
      </c>
      <c r="H84" s="48" t="s">
        <v>564</v>
      </c>
      <c r="J84">
        <v>0</v>
      </c>
      <c r="K84" s="96"/>
      <c r="M84" t="s">
        <v>4534</v>
      </c>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246</v>
      </c>
      <c r="AM84" s="117">
        <f t="shared" si="11"/>
        <v>479935422</v>
      </c>
      <c r="AN84" s="20"/>
      <c r="AZ84" t="s">
        <v>25</v>
      </c>
    </row>
    <row r="85" spans="4:52">
      <c r="D85" s="32" t="s">
        <v>312</v>
      </c>
      <c r="E85" s="1">
        <v>200000</v>
      </c>
      <c r="G85" s="47">
        <v>50000</v>
      </c>
      <c r="H85" s="48" t="s">
        <v>792</v>
      </c>
      <c r="K85" s="96"/>
      <c r="L85" s="96"/>
      <c r="M85" s="96"/>
      <c r="N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242</v>
      </c>
      <c r="AM85" s="117">
        <f t="shared" si="11"/>
        <v>145200000</v>
      </c>
      <c r="AN85" s="20"/>
    </row>
    <row r="86" spans="4:52">
      <c r="D86" s="32" t="s">
        <v>313</v>
      </c>
      <c r="E86" s="1">
        <v>20000</v>
      </c>
      <c r="G86" s="47">
        <v>140000</v>
      </c>
      <c r="H86" s="48" t="s">
        <v>314</v>
      </c>
      <c r="K86" s="96"/>
      <c r="L86" s="96"/>
      <c r="M86" s="96"/>
      <c r="N86" s="96"/>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237</v>
      </c>
      <c r="AM86" s="117">
        <f t="shared" si="11"/>
        <v>1777500000</v>
      </c>
      <c r="AN86" s="20"/>
      <c r="AS86" s="96"/>
    </row>
    <row r="87" spans="4:52">
      <c r="D87" s="32" t="s">
        <v>315</v>
      </c>
      <c r="E87" s="1">
        <v>50000</v>
      </c>
      <c r="G87" s="47"/>
      <c r="H87" s="48" t="s">
        <v>25</v>
      </c>
      <c r="J87">
        <v>0</v>
      </c>
      <c r="K87" s="96"/>
      <c r="W87" s="194"/>
      <c r="X87" s="194"/>
      <c r="Y87" s="96"/>
      <c r="Z87" s="115"/>
      <c r="AA87" s="115"/>
      <c r="AB87" s="115"/>
      <c r="AC87" s="128"/>
      <c r="AD87" s="115"/>
      <c r="AE87" s="115"/>
      <c r="AF87" s="115"/>
      <c r="AH87" s="20">
        <v>67</v>
      </c>
      <c r="AI87" s="117" t="s">
        <v>4439</v>
      </c>
      <c r="AJ87" s="117">
        <v>-587816</v>
      </c>
      <c r="AK87" s="20">
        <v>3</v>
      </c>
      <c r="AL87" s="99">
        <f t="shared" si="20"/>
        <v>235</v>
      </c>
      <c r="AM87" s="117">
        <f t="shared" si="11"/>
        <v>-138136760</v>
      </c>
      <c r="AN87" s="20"/>
      <c r="AS87" s="96"/>
    </row>
    <row r="88" spans="4:52" ht="30">
      <c r="D88" s="32" t="s">
        <v>316</v>
      </c>
      <c r="E88" s="1">
        <v>90000</v>
      </c>
      <c r="G88" s="47">
        <f>SUM(G76:G87)</f>
        <v>2645000</v>
      </c>
      <c r="H88" s="48" t="s">
        <v>6</v>
      </c>
      <c r="K88" s="96"/>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232</v>
      </c>
      <c r="AM88" s="117">
        <f t="shared" si="11"/>
        <v>-210537448</v>
      </c>
      <c r="AN88" s="20"/>
      <c r="AP88" t="s">
        <v>25</v>
      </c>
      <c r="AV88" t="s">
        <v>25</v>
      </c>
    </row>
    <row r="89" spans="4:52">
      <c r="D89" s="32" t="s">
        <v>317</v>
      </c>
      <c r="E89" s="1">
        <v>50000</v>
      </c>
      <c r="K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232</v>
      </c>
      <c r="AM89" s="117">
        <f t="shared" si="11"/>
        <v>568400000</v>
      </c>
      <c r="AN89" s="20" t="s">
        <v>4477</v>
      </c>
      <c r="AQ89" t="s">
        <v>25</v>
      </c>
      <c r="AR89" t="s">
        <v>25</v>
      </c>
    </row>
    <row r="90" spans="4:52">
      <c r="D90" s="32" t="s">
        <v>327</v>
      </c>
      <c r="E90" s="1">
        <v>150000</v>
      </c>
      <c r="J90">
        <v>395</v>
      </c>
      <c r="K90" s="96"/>
      <c r="P90" s="128"/>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231</v>
      </c>
      <c r="AM90" s="117">
        <f t="shared" si="11"/>
        <v>346500000</v>
      </c>
      <c r="AN90" s="20"/>
      <c r="AP90" t="s">
        <v>25</v>
      </c>
      <c r="AU90" s="96" t="s">
        <v>25</v>
      </c>
    </row>
    <row r="91" spans="4:52">
      <c r="D91" s="32" t="s">
        <v>318</v>
      </c>
      <c r="E91" s="1">
        <v>15000</v>
      </c>
      <c r="F91" s="96"/>
      <c r="G91" s="96"/>
      <c r="H91" s="96"/>
      <c r="I91" s="96"/>
      <c r="J91" s="96"/>
      <c r="K91" s="96" t="s">
        <v>25</v>
      </c>
      <c r="P91" s="128"/>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230</v>
      </c>
      <c r="AM91" s="117">
        <f t="shared" si="11"/>
        <v>609040000</v>
      </c>
      <c r="AN91" s="20" t="s">
        <v>4486</v>
      </c>
      <c r="AU91" s="96" t="s">
        <v>25</v>
      </c>
    </row>
    <row r="92" spans="4:52">
      <c r="D92" s="32" t="s">
        <v>319</v>
      </c>
      <c r="E92" s="1">
        <v>20000</v>
      </c>
      <c r="F92" s="96"/>
      <c r="G92" s="96"/>
      <c r="H92" s="96"/>
      <c r="I92" s="96"/>
      <c r="J92" s="96"/>
      <c r="K92" s="96"/>
      <c r="L92" s="96"/>
      <c r="M92" s="96"/>
      <c r="N92" s="96"/>
      <c r="P92" s="115"/>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229</v>
      </c>
      <c r="AM92" s="117">
        <f t="shared" si="11"/>
        <v>140835000</v>
      </c>
      <c r="AN92" s="20"/>
      <c r="AV92" t="s">
        <v>25</v>
      </c>
    </row>
    <row r="93" spans="4:52">
      <c r="D93" s="32" t="s">
        <v>320</v>
      </c>
      <c r="E93" s="1">
        <v>40000</v>
      </c>
      <c r="F93" s="96"/>
      <c r="G93" s="96"/>
      <c r="H93" s="96"/>
      <c r="I93" s="96"/>
      <c r="J93" s="96"/>
      <c r="K93" s="96"/>
      <c r="L93" s="96"/>
      <c r="M93" s="96"/>
      <c r="N93" s="96"/>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225</v>
      </c>
      <c r="AM93" s="117">
        <f t="shared" si="11"/>
        <v>3150000000</v>
      </c>
      <c r="AN93" s="20"/>
    </row>
    <row r="94" spans="4:52">
      <c r="D94" s="32" t="s">
        <v>322</v>
      </c>
      <c r="E94" s="1">
        <v>150000</v>
      </c>
      <c r="K94" s="96"/>
      <c r="L94" s="96"/>
      <c r="M94" s="96"/>
      <c r="N94" s="96"/>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223</v>
      </c>
      <c r="AM94" s="117">
        <f t="shared" si="11"/>
        <v>292799000</v>
      </c>
      <c r="AN94" s="20"/>
      <c r="AQ94" t="s">
        <v>25</v>
      </c>
    </row>
    <row r="95" spans="4:52">
      <c r="D95" s="32" t="s">
        <v>324</v>
      </c>
      <c r="E95" s="1">
        <v>75000</v>
      </c>
      <c r="F95" s="96"/>
      <c r="G95" s="96"/>
      <c r="H95" s="96"/>
      <c r="I95" s="96"/>
      <c r="J95" s="96" t="s">
        <v>25</v>
      </c>
      <c r="K95" t="s">
        <v>25</v>
      </c>
      <c r="L95" s="96"/>
      <c r="M95" s="96"/>
      <c r="N95" s="96"/>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223</v>
      </c>
      <c r="AM95" s="117">
        <f t="shared" si="11"/>
        <v>505987000</v>
      </c>
      <c r="AN95" s="99"/>
    </row>
    <row r="96" spans="4:52">
      <c r="D96" s="32" t="s">
        <v>314</v>
      </c>
      <c r="E96" s="1">
        <v>140000</v>
      </c>
      <c r="J96" t="s">
        <v>25</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222</v>
      </c>
      <c r="AM96" s="117">
        <f t="shared" si="11"/>
        <v>166500000</v>
      </c>
      <c r="AN96" s="99"/>
      <c r="AQ96" t="s">
        <v>25</v>
      </c>
    </row>
    <row r="97" spans="4:47">
      <c r="D97" s="2" t="s">
        <v>478</v>
      </c>
      <c r="E97" s="3">
        <v>1083333</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218</v>
      </c>
      <c r="AM97" s="117">
        <f t="shared" si="11"/>
        <v>414200000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215</v>
      </c>
      <c r="AM98" s="117">
        <f t="shared" si="11"/>
        <v>1376000000</v>
      </c>
      <c r="AN98" s="99"/>
      <c r="AT98" s="96" t="s">
        <v>25</v>
      </c>
    </row>
    <row r="99" spans="4:47">
      <c r="D99" s="2"/>
      <c r="E99" s="3"/>
      <c r="F99" s="199">
        <f>$L$107/G99</f>
        <v>17715.7148812005</v>
      </c>
      <c r="G99" s="199">
        <f>P45</f>
        <v>239.9</v>
      </c>
      <c r="H99" s="199" t="s">
        <v>4783</v>
      </c>
      <c r="I99" s="199" t="s">
        <v>4782</v>
      </c>
      <c r="J99" s="214" t="s">
        <v>4242</v>
      </c>
      <c r="K99" s="199">
        <v>164</v>
      </c>
      <c r="L99" s="215">
        <f t="shared" ref="L99:L104" si="26">K99*$L$107</f>
        <v>697000000</v>
      </c>
      <c r="M99" s="215">
        <f>N21+N28+N45</f>
        <v>1209238740.5</v>
      </c>
      <c r="N99" s="183">
        <f t="shared" ref="N99:N103" si="27">L99-M99</f>
        <v>-512238740.5</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214</v>
      </c>
      <c r="AM99" s="117">
        <f t="shared" si="11"/>
        <v>1070000</v>
      </c>
      <c r="AN99" s="99"/>
      <c r="AP99" t="s">
        <v>25</v>
      </c>
    </row>
    <row r="100" spans="4:47">
      <c r="D100" s="2" t="s">
        <v>6</v>
      </c>
      <c r="E100" s="3">
        <f>SUM(E77:E98)</f>
        <v>3383333</v>
      </c>
      <c r="F100" s="213">
        <v>0</v>
      </c>
      <c r="G100" s="213">
        <v>0</v>
      </c>
      <c r="H100" s="213" t="s">
        <v>4964</v>
      </c>
      <c r="I100" s="213" t="s">
        <v>4965</v>
      </c>
      <c r="J100" s="32" t="s">
        <v>4393</v>
      </c>
      <c r="K100" s="213">
        <v>0</v>
      </c>
      <c r="L100" s="1">
        <f t="shared" si="26"/>
        <v>0</v>
      </c>
      <c r="M100" s="1">
        <f>0</f>
        <v>0</v>
      </c>
      <c r="N100" s="113">
        <f t="shared" si="27"/>
        <v>0</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209</v>
      </c>
      <c r="AM100" s="117">
        <f t="shared" si="11"/>
        <v>-365780932</v>
      </c>
      <c r="AN100" s="99"/>
    </row>
    <row r="101" spans="4:47">
      <c r="D101" s="2" t="s">
        <v>328</v>
      </c>
      <c r="E101" s="3">
        <f>E100/30</f>
        <v>112777.76666666666</v>
      </c>
      <c r="F101" s="199">
        <v>0</v>
      </c>
      <c r="G101" s="199">
        <v>0</v>
      </c>
      <c r="H101" s="199" t="s">
        <v>5137</v>
      </c>
      <c r="I101" s="199" t="s">
        <v>5136</v>
      </c>
      <c r="J101" s="214" t="s">
        <v>4389</v>
      </c>
      <c r="K101" s="199">
        <v>0</v>
      </c>
      <c r="L101" s="215">
        <f t="shared" si="26"/>
        <v>0</v>
      </c>
      <c r="M101" s="215">
        <f>0</f>
        <v>0</v>
      </c>
      <c r="N101" s="183">
        <f t="shared" si="27"/>
        <v>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208</v>
      </c>
      <c r="AM101" s="117">
        <f t="shared" si="11"/>
        <v>83200000</v>
      </c>
      <c r="AN101" s="99"/>
    </row>
    <row r="102" spans="4:47">
      <c r="F102" s="213">
        <f>$L$107/G102</f>
        <v>5952.3809523809523</v>
      </c>
      <c r="G102" s="213">
        <f>P43</f>
        <v>714</v>
      </c>
      <c r="H102" s="213" t="s">
        <v>4675</v>
      </c>
      <c r="I102" s="213" t="s">
        <v>4674</v>
      </c>
      <c r="J102" s="32" t="s">
        <v>4407</v>
      </c>
      <c r="K102" s="213">
        <v>54</v>
      </c>
      <c r="L102" s="1">
        <f t="shared" si="26"/>
        <v>229500000</v>
      </c>
      <c r="M102" s="1">
        <f>N43+N22</f>
        <v>181951476</v>
      </c>
      <c r="N102" s="113">
        <f t="shared" si="27"/>
        <v>47548524</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208</v>
      </c>
      <c r="AM102" s="117">
        <f t="shared" si="11"/>
        <v>-437927568</v>
      </c>
      <c r="AN102" s="99"/>
      <c r="AO102" t="s">
        <v>25</v>
      </c>
    </row>
    <row r="103" spans="4:47">
      <c r="F103" s="199"/>
      <c r="G103" s="199"/>
      <c r="H103" s="199"/>
      <c r="I103" s="199"/>
      <c r="J103" s="214" t="s">
        <v>4651</v>
      </c>
      <c r="K103" s="199">
        <v>1</v>
      </c>
      <c r="L103" s="215">
        <f t="shared" si="26"/>
        <v>4250000</v>
      </c>
      <c r="M103" s="215">
        <f>N41</f>
        <v>69920</v>
      </c>
      <c r="N103" s="183">
        <f t="shared" si="27"/>
        <v>4180080</v>
      </c>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207</v>
      </c>
      <c r="AM103" s="117">
        <f t="shared" si="11"/>
        <v>-1144216926</v>
      </c>
      <c r="AN103" s="99"/>
    </row>
    <row r="104" spans="4:47">
      <c r="F104" s="191"/>
      <c r="G104" s="191"/>
      <c r="H104" s="191"/>
      <c r="I104" s="191"/>
      <c r="J104" s="258" t="s">
        <v>5149</v>
      </c>
      <c r="K104" s="191">
        <v>101</v>
      </c>
      <c r="L104" s="259">
        <f t="shared" si="26"/>
        <v>429250000</v>
      </c>
      <c r="M104" s="259">
        <v>0</v>
      </c>
      <c r="N104" s="86">
        <f>L104-M104</f>
        <v>429250000</v>
      </c>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207</v>
      </c>
      <c r="AM104" s="117">
        <f t="shared" si="11"/>
        <v>807300000</v>
      </c>
      <c r="AN104" s="99"/>
    </row>
    <row r="105" spans="4:47">
      <c r="F105" s="213"/>
      <c r="G105" s="213"/>
      <c r="H105" s="213"/>
      <c r="I105" s="213"/>
      <c r="J105" s="32" t="s">
        <v>4757</v>
      </c>
      <c r="K105" s="213"/>
      <c r="L105" s="1"/>
      <c r="M105" s="1"/>
      <c r="N105" s="113">
        <v>30000000</v>
      </c>
      <c r="O105" t="s">
        <v>25</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204</v>
      </c>
      <c r="AM105" s="117">
        <f t="shared" si="11"/>
        <v>-809829816</v>
      </c>
      <c r="AN105" s="99"/>
    </row>
    <row r="106" spans="4:47">
      <c r="F106" s="199"/>
      <c r="G106" s="199"/>
      <c r="H106" s="199"/>
      <c r="I106" s="199"/>
      <c r="J106" s="214" t="s">
        <v>4868</v>
      </c>
      <c r="K106" s="199">
        <f>SUM(K99:K104)</f>
        <v>320</v>
      </c>
      <c r="L106" s="215"/>
      <c r="M106" s="215"/>
      <c r="N106" s="183"/>
      <c r="Q106" s="169">
        <v>60508</v>
      </c>
      <c r="R106" s="168" t="s">
        <v>4615</v>
      </c>
      <c r="S106" s="168">
        <f>S105-3</f>
        <v>180</v>
      </c>
      <c r="T106" s="168" t="s">
        <v>4886</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203</v>
      </c>
      <c r="AM106" s="117">
        <f t="shared" si="11"/>
        <v>-5191614365</v>
      </c>
      <c r="AN106" s="99"/>
      <c r="AP106" t="s">
        <v>25</v>
      </c>
    </row>
    <row r="107" spans="4:47">
      <c r="F107" s="213"/>
      <c r="G107" s="213"/>
      <c r="H107" s="213" t="s">
        <v>25</v>
      </c>
      <c r="I107" s="213"/>
      <c r="J107" s="32"/>
      <c r="K107" s="213">
        <v>0</v>
      </c>
      <c r="L107" s="39">
        <f>10*P46</f>
        <v>4250000</v>
      </c>
      <c r="M107" s="1">
        <f>K107*L107</f>
        <v>0</v>
      </c>
      <c r="N107" s="113">
        <f>SUM(N99:N105)-M107</f>
        <v>-1260136.5</v>
      </c>
      <c r="P107" s="114"/>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203</v>
      </c>
      <c r="AM107" s="117">
        <f t="shared" si="11"/>
        <v>812000000</v>
      </c>
      <c r="AN107" s="99"/>
    </row>
    <row r="108" spans="4:47">
      <c r="F108" s="199"/>
      <c r="G108" s="199"/>
      <c r="H108" s="199"/>
      <c r="I108" s="199"/>
      <c r="J108" s="214"/>
      <c r="K108" s="245"/>
      <c r="L108" s="215" t="s">
        <v>4252</v>
      </c>
      <c r="M108" s="215" t="s">
        <v>4659</v>
      </c>
      <c r="N108" s="183" t="s">
        <v>4660</v>
      </c>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202</v>
      </c>
      <c r="AM108" s="117">
        <f t="shared" si="11"/>
        <v>-1010000000</v>
      </c>
      <c r="AN108" s="99"/>
    </row>
    <row r="109" spans="4:47">
      <c r="F109" s="213"/>
      <c r="G109" s="213"/>
      <c r="H109" s="213"/>
      <c r="I109" s="213"/>
      <c r="J109" s="32" t="s">
        <v>4666</v>
      </c>
      <c r="K109" s="213"/>
      <c r="L109" s="1"/>
      <c r="M109" s="1"/>
      <c r="N109" s="113"/>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200</v>
      </c>
      <c r="AM109" s="117">
        <f t="shared" si="11"/>
        <v>2000000000</v>
      </c>
      <c r="AN109" s="99"/>
    </row>
    <row r="110" spans="4:47">
      <c r="M110" t="s">
        <v>25</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196</v>
      </c>
      <c r="AM110" s="117">
        <f t="shared" si="11"/>
        <v>-1027419652</v>
      </c>
      <c r="AN110" s="99"/>
    </row>
    <row r="111" spans="4:47">
      <c r="P111" s="114"/>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196</v>
      </c>
      <c r="AM111" s="117">
        <f t="shared" si="11"/>
        <v>4292400000</v>
      </c>
      <c r="AN111" s="99"/>
      <c r="AP111" t="s">
        <v>25</v>
      </c>
      <c r="AU111"/>
    </row>
    <row r="112" spans="4:47">
      <c r="K112" s="168" t="s">
        <v>4535</v>
      </c>
      <c r="L112" s="168" t="s">
        <v>4536</v>
      </c>
      <c r="M112" s="168" t="s">
        <v>4430</v>
      </c>
      <c r="N112" s="56" t="s">
        <v>190</v>
      </c>
      <c r="Q112" s="35">
        <v>4003090</v>
      </c>
      <c r="R112" s="5" t="s">
        <v>4686</v>
      </c>
      <c r="S112" s="5">
        <f>S111-1</f>
        <v>165</v>
      </c>
      <c r="T112" s="5" t="s">
        <v>5161</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194</v>
      </c>
      <c r="AM112" s="117">
        <f t="shared" si="11"/>
        <v>-2910000000</v>
      </c>
      <c r="AN112" s="99"/>
      <c r="AO112" t="s">
        <v>25</v>
      </c>
    </row>
    <row r="113" spans="6:46">
      <c r="H113" s="114"/>
      <c r="K113" s="168" t="s">
        <v>4242</v>
      </c>
      <c r="L113" s="169">
        <v>1100000</v>
      </c>
      <c r="M113" s="169">
        <v>1637000</v>
      </c>
      <c r="N113" s="168">
        <f t="shared" ref="N113:N121" si="30">(M113-L113)*100/L113</f>
        <v>48.81818181818182</v>
      </c>
      <c r="Q113" s="169">
        <v>6150141</v>
      </c>
      <c r="R113" s="213" t="s">
        <v>4876</v>
      </c>
      <c r="S113" s="213">
        <f>S112-64</f>
        <v>101</v>
      </c>
      <c r="T113" s="213" t="s">
        <v>4883</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194</v>
      </c>
      <c r="AM113" s="117">
        <f t="shared" si="11"/>
        <v>582000000</v>
      </c>
      <c r="AN113" s="99"/>
    </row>
    <row r="114" spans="6:46">
      <c r="F114" s="96"/>
      <c r="G114" s="213"/>
      <c r="H114" s="213"/>
      <c r="I114" s="213" t="s">
        <v>5121</v>
      </c>
      <c r="J114" s="1">
        <v>16404873</v>
      </c>
      <c r="K114" s="5" t="s">
        <v>4530</v>
      </c>
      <c r="L114" s="169">
        <v>1100000</v>
      </c>
      <c r="M114" s="169">
        <v>4748000</v>
      </c>
      <c r="N114" s="168">
        <f t="shared" si="30"/>
        <v>331.63636363636363</v>
      </c>
      <c r="Q114" s="169">
        <v>1399908</v>
      </c>
      <c r="R114" s="213" t="s">
        <v>4950</v>
      </c>
      <c r="S114" s="213">
        <f>S113-20</f>
        <v>81</v>
      </c>
      <c r="T114" s="213" t="s">
        <v>4951</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193</v>
      </c>
      <c r="AM114" s="117">
        <f t="shared" si="11"/>
        <v>-406021048</v>
      </c>
      <c r="AN114" s="99"/>
    </row>
    <row r="115" spans="6:46">
      <c r="F115" s="96"/>
      <c r="G115" s="213" t="s">
        <v>941</v>
      </c>
      <c r="H115" s="213" t="s">
        <v>4535</v>
      </c>
      <c r="I115" s="213" t="s">
        <v>937</v>
      </c>
      <c r="J115" s="213" t="s">
        <v>4755</v>
      </c>
      <c r="K115" s="5" t="s">
        <v>4531</v>
      </c>
      <c r="L115" s="169">
        <v>1100000</v>
      </c>
      <c r="M115" s="169">
        <v>5137000</v>
      </c>
      <c r="N115" s="168">
        <f t="shared" si="30"/>
        <v>367</v>
      </c>
      <c r="Q115" s="169">
        <v>1204033</v>
      </c>
      <c r="R115" s="213" t="s">
        <v>4960</v>
      </c>
      <c r="S115" s="213">
        <f>S114-7</f>
        <v>74</v>
      </c>
      <c r="T115" s="213" t="s">
        <v>4963</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193</v>
      </c>
      <c r="AM115" s="117">
        <f t="shared" si="11"/>
        <v>42460000</v>
      </c>
      <c r="AN115" s="99"/>
      <c r="AR115" s="96"/>
      <c r="AS115" s="96"/>
      <c r="AT115"/>
    </row>
    <row r="116" spans="6:46">
      <c r="F116" s="96"/>
      <c r="G116" s="1">
        <f>P45</f>
        <v>239.9</v>
      </c>
      <c r="H116" s="213" t="s">
        <v>4242</v>
      </c>
      <c r="I116" s="213">
        <v>151599</v>
      </c>
      <c r="J116" s="1">
        <f>I116*G116</f>
        <v>36368600.100000001</v>
      </c>
      <c r="K116" s="19" t="s">
        <v>4389</v>
      </c>
      <c r="L116" s="169">
        <v>1100000</v>
      </c>
      <c r="M116" s="169">
        <v>4300000</v>
      </c>
      <c r="N116" s="168">
        <f t="shared" si="30"/>
        <v>290.90909090909093</v>
      </c>
      <c r="P116" s="114"/>
      <c r="Q116" s="169">
        <v>8382674</v>
      </c>
      <c r="R116" s="213" t="s">
        <v>4970</v>
      </c>
      <c r="S116" s="213">
        <f>S115-7</f>
        <v>67</v>
      </c>
      <c r="T116" s="213" t="s">
        <v>4976</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190</v>
      </c>
      <c r="AM116" s="117">
        <f t="shared" si="11"/>
        <v>760000000</v>
      </c>
      <c r="AN116" s="99"/>
    </row>
    <row r="117" spans="6:46">
      <c r="F117" s="96"/>
      <c r="G117" s="1">
        <f>P42</f>
        <v>4200</v>
      </c>
      <c r="H117" s="213" t="s">
        <v>4389</v>
      </c>
      <c r="I117" s="213">
        <v>0</v>
      </c>
      <c r="J117" s="1">
        <f t="shared" ref="J117:J118" si="31">I117*G117</f>
        <v>0</v>
      </c>
      <c r="K117" s="5" t="s">
        <v>4407</v>
      </c>
      <c r="L117" s="169">
        <v>1100000</v>
      </c>
      <c r="M117" s="169">
        <v>3191000</v>
      </c>
      <c r="N117" s="168">
        <f t="shared" si="30"/>
        <v>190.09090909090909</v>
      </c>
      <c r="Q117" s="169">
        <v>190884649</v>
      </c>
      <c r="R117" s="213" t="s">
        <v>4990</v>
      </c>
      <c r="S117" s="213">
        <f>S116-9</f>
        <v>58</v>
      </c>
      <c r="T117" s="213" t="s">
        <v>4993</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189</v>
      </c>
      <c r="AM117" s="117">
        <f t="shared" si="11"/>
        <v>-1701000000</v>
      </c>
      <c r="AN117" s="99"/>
      <c r="AP117" t="s">
        <v>25</v>
      </c>
    </row>
    <row r="118" spans="6:46">
      <c r="F118" s="96"/>
      <c r="G118" s="1">
        <f>P43</f>
        <v>714</v>
      </c>
      <c r="H118" s="213" t="s">
        <v>4407</v>
      </c>
      <c r="I118" s="213">
        <v>1205</v>
      </c>
      <c r="J118" s="1">
        <f t="shared" si="31"/>
        <v>860370</v>
      </c>
      <c r="K118" s="5" t="s">
        <v>4532</v>
      </c>
      <c r="L118" s="169">
        <v>1100000</v>
      </c>
      <c r="M118" s="169">
        <v>5623000</v>
      </c>
      <c r="N118" s="168">
        <f t="shared" si="30"/>
        <v>411.18181818181819</v>
      </c>
      <c r="Q118" s="169">
        <v>2099962</v>
      </c>
      <c r="R118" s="213" t="s">
        <v>4992</v>
      </c>
      <c r="S118" s="213">
        <f>S117-1</f>
        <v>57</v>
      </c>
      <c r="T118" s="213" t="s">
        <v>4996</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189</v>
      </c>
      <c r="AM118" s="117">
        <f t="shared" si="11"/>
        <v>2627100000</v>
      </c>
      <c r="AN118" s="99"/>
    </row>
    <row r="119" spans="6:46">
      <c r="F119" s="96"/>
      <c r="G119" s="1"/>
      <c r="H119" s="213" t="s">
        <v>25</v>
      </c>
      <c r="I119" s="213"/>
      <c r="J119" s="1"/>
      <c r="K119" s="19" t="s">
        <v>4393</v>
      </c>
      <c r="L119" s="169">
        <v>1100000</v>
      </c>
      <c r="M119" s="169">
        <v>7728000</v>
      </c>
      <c r="N119" s="168">
        <f t="shared" si="30"/>
        <v>602.5454545454545</v>
      </c>
      <c r="Q119" s="169">
        <v>130756</v>
      </c>
      <c r="R119" s="213" t="s">
        <v>4997</v>
      </c>
      <c r="S119" s="213">
        <f>S118-1</f>
        <v>56</v>
      </c>
      <c r="T119" s="213" t="s">
        <v>4998</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187</v>
      </c>
      <c r="AM119" s="117">
        <f t="shared" si="11"/>
        <v>-1519856899</v>
      </c>
      <c r="AN119" s="99"/>
      <c r="AO119" t="s">
        <v>25</v>
      </c>
      <c r="AQ119" t="s">
        <v>25</v>
      </c>
    </row>
    <row r="120" spans="6:46">
      <c r="F120" s="96"/>
      <c r="G120" s="213"/>
      <c r="H120" s="213"/>
      <c r="I120" s="113">
        <f>J120-J114</f>
        <v>20824097.100000001</v>
      </c>
      <c r="J120" s="1">
        <f>SUM(J116:J118)</f>
        <v>37228970.100000001</v>
      </c>
      <c r="K120" s="5" t="s">
        <v>4534</v>
      </c>
      <c r="L120" s="169">
        <v>1100000</v>
      </c>
      <c r="M120" s="169">
        <v>2904000</v>
      </c>
      <c r="N120" s="168">
        <f t="shared" si="30"/>
        <v>164</v>
      </c>
      <c r="Q120" s="169">
        <v>795874</v>
      </c>
      <c r="R120" s="213" t="s">
        <v>5011</v>
      </c>
      <c r="S120" s="213">
        <f>S119-6</f>
        <v>50</v>
      </c>
      <c r="T120" s="213" t="s">
        <v>5012</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186</v>
      </c>
      <c r="AM120" s="117">
        <f t="shared" si="11"/>
        <v>2937414114</v>
      </c>
      <c r="AN120" s="99"/>
      <c r="AO120" t="s">
        <v>25</v>
      </c>
      <c r="AP120" t="s">
        <v>25</v>
      </c>
    </row>
    <row r="121" spans="6:46">
      <c r="G121" s="213"/>
      <c r="H121" s="213"/>
      <c r="I121" s="213" t="s">
        <v>916</v>
      </c>
      <c r="J121" s="213" t="s">
        <v>6</v>
      </c>
      <c r="K121" s="264" t="s">
        <v>1086</v>
      </c>
      <c r="L121" s="169">
        <v>1100000</v>
      </c>
      <c r="M121" s="169">
        <v>3400000</v>
      </c>
      <c r="N121" s="168">
        <f t="shared" si="30"/>
        <v>209.09090909090909</v>
      </c>
      <c r="P121" s="114"/>
      <c r="Q121" s="169">
        <v>400348</v>
      </c>
      <c r="R121" s="213" t="s">
        <v>5014</v>
      </c>
      <c r="S121" s="213">
        <f>S120-1</f>
        <v>49</v>
      </c>
      <c r="T121" s="213" t="s">
        <v>5016</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183</v>
      </c>
      <c r="AM121" s="117">
        <f t="shared" ref="AM121:AM144" si="33">AJ121*AL121</f>
        <v>1610400000</v>
      </c>
      <c r="AN121" s="99"/>
      <c r="AP121" t="s">
        <v>25</v>
      </c>
    </row>
    <row r="122" spans="6:46" ht="45">
      <c r="K122" s="243" t="s">
        <v>4563</v>
      </c>
      <c r="Q122" s="169">
        <v>5896463</v>
      </c>
      <c r="R122" s="213" t="s">
        <v>5026</v>
      </c>
      <c r="S122" s="213">
        <f>S121-4</f>
        <v>45</v>
      </c>
      <c r="T122" s="213" t="s">
        <v>5027</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183</v>
      </c>
      <c r="AM122" s="79">
        <f t="shared" si="33"/>
        <v>2392104996</v>
      </c>
      <c r="AN122" s="205" t="s">
        <v>4616</v>
      </c>
    </row>
    <row r="123" spans="6:46">
      <c r="G123" s="99"/>
      <c r="H123" s="99"/>
      <c r="I123" s="99" t="s">
        <v>5105</v>
      </c>
      <c r="J123" s="1">
        <v>20000000</v>
      </c>
      <c r="K123" s="243" t="s">
        <v>4564</v>
      </c>
      <c r="Q123" s="169">
        <v>1499873</v>
      </c>
      <c r="R123" s="213" t="s">
        <v>5040</v>
      </c>
      <c r="S123" s="213">
        <f>S122-8</f>
        <v>37</v>
      </c>
      <c r="T123" s="213" t="s">
        <v>5044</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182</v>
      </c>
      <c r="AM123" s="90">
        <f t="shared" si="33"/>
        <v>3044320734</v>
      </c>
      <c r="AN123" s="89" t="s">
        <v>4626</v>
      </c>
    </row>
    <row r="124" spans="6:46">
      <c r="G124" s="1">
        <f>P45</f>
        <v>239.9</v>
      </c>
      <c r="H124" s="99" t="s">
        <v>4242</v>
      </c>
      <c r="I124" s="99">
        <v>89803</v>
      </c>
      <c r="J124" s="1">
        <f>G124*I124</f>
        <v>21543739.699999999</v>
      </c>
      <c r="K124" s="243" t="s">
        <v>4565</v>
      </c>
      <c r="Q124" s="169">
        <v>25141103</v>
      </c>
      <c r="R124" s="213" t="s">
        <v>5066</v>
      </c>
      <c r="S124" s="213">
        <f>S123-7</f>
        <v>30</v>
      </c>
      <c r="T124" s="213" t="s">
        <v>5069</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182</v>
      </c>
      <c r="AM124" s="117">
        <f t="shared" si="33"/>
        <v>2184000000</v>
      </c>
      <c r="AN124" s="99" t="s">
        <v>4627</v>
      </c>
    </row>
    <row r="125" spans="6:46">
      <c r="G125" s="99"/>
      <c r="H125" s="99"/>
      <c r="I125" s="99"/>
      <c r="J125" s="99" t="s">
        <v>25</v>
      </c>
      <c r="Q125" s="169">
        <v>120581</v>
      </c>
      <c r="R125" s="213" t="s">
        <v>5070</v>
      </c>
      <c r="S125" s="213">
        <f>S124-1</f>
        <v>29</v>
      </c>
      <c r="T125" s="213" t="s">
        <v>5071</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181</v>
      </c>
      <c r="AM125" s="90">
        <f t="shared" si="33"/>
        <v>16054277727</v>
      </c>
      <c r="AN125" s="89" t="s">
        <v>4628</v>
      </c>
      <c r="AP125" t="s">
        <v>25</v>
      </c>
    </row>
    <row r="126" spans="6:46">
      <c r="G126" s="99"/>
      <c r="H126" s="99"/>
      <c r="I126" s="95">
        <f>J126-J123</f>
        <v>1543739.6999999993</v>
      </c>
      <c r="J126" s="1">
        <f>SUM(J124:J125)</f>
        <v>21543739.699999999</v>
      </c>
      <c r="Q126" s="169">
        <v>500951</v>
      </c>
      <c r="R126" s="213" t="s">
        <v>5070</v>
      </c>
      <c r="S126" s="213">
        <f>S125</f>
        <v>29</v>
      </c>
      <c r="T126" s="213" t="s">
        <v>5075</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180</v>
      </c>
      <c r="AM126" s="117">
        <f t="shared" si="33"/>
        <v>18180000</v>
      </c>
      <c r="AN126" s="99"/>
      <c r="AQ126" t="s">
        <v>25</v>
      </c>
    </row>
    <row r="127" spans="6:46">
      <c r="G127" s="99"/>
      <c r="H127" s="99"/>
      <c r="I127" s="99" t="s">
        <v>916</v>
      </c>
      <c r="J127" s="99" t="s">
        <v>6</v>
      </c>
      <c r="Q127" s="169">
        <v>493081</v>
      </c>
      <c r="R127" s="213" t="s">
        <v>5078</v>
      </c>
      <c r="S127" s="213">
        <f>S126-1</f>
        <v>28</v>
      </c>
      <c r="T127" s="213" t="s">
        <v>5080</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86" si="34">AL128+AK127</f>
        <v>180</v>
      </c>
      <c r="AM127" s="188">
        <f t="shared" si="33"/>
        <v>-8676000</v>
      </c>
      <c r="AN127" s="149" t="s">
        <v>4634</v>
      </c>
    </row>
    <row r="128" spans="6:46">
      <c r="Q128" s="169">
        <v>43287917</v>
      </c>
      <c r="R128" s="213" t="s">
        <v>5082</v>
      </c>
      <c r="S128" s="213">
        <f>S127-3</f>
        <v>25</v>
      </c>
      <c r="T128" s="213" t="s">
        <v>5109</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180</v>
      </c>
      <c r="AM128" s="188">
        <f t="shared" si="33"/>
        <v>7078912740</v>
      </c>
      <c r="AN128" s="89" t="s">
        <v>4635</v>
      </c>
    </row>
    <row r="129" spans="6:43">
      <c r="G129" s="99"/>
      <c r="H129" s="99"/>
      <c r="I129" s="99" t="s">
        <v>5104</v>
      </c>
      <c r="J129" s="1">
        <v>9795000</v>
      </c>
      <c r="Q129" s="169">
        <v>3195995</v>
      </c>
      <c r="R129" s="213" t="s">
        <v>5117</v>
      </c>
      <c r="S129" s="213">
        <f>S128-11</f>
        <v>14</v>
      </c>
      <c r="T129" s="213" t="s">
        <v>5118</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176</v>
      </c>
      <c r="AM129" s="90">
        <f t="shared" si="33"/>
        <v>1539832800</v>
      </c>
      <c r="AN129" s="89" t="s">
        <v>4650</v>
      </c>
    </row>
    <row r="130" spans="6:43">
      <c r="G130" s="1">
        <f>P45</f>
        <v>239.9</v>
      </c>
      <c r="H130" s="99" t="s">
        <v>4242</v>
      </c>
      <c r="I130" s="99">
        <v>46582</v>
      </c>
      <c r="J130" s="1">
        <f>G130*I130</f>
        <v>11175021.800000001</v>
      </c>
      <c r="M130">
        <v>236</v>
      </c>
      <c r="N130">
        <v>3</v>
      </c>
      <c r="O130">
        <f>M130*N130</f>
        <v>708</v>
      </c>
      <c r="Q130" s="169">
        <v>29111</v>
      </c>
      <c r="R130" s="213" t="s">
        <v>5117</v>
      </c>
      <c r="S130" s="213">
        <f>S129</f>
        <v>14</v>
      </c>
      <c r="T130" s="213" t="s">
        <v>5120</v>
      </c>
      <c r="U130" s="213">
        <v>315</v>
      </c>
      <c r="V130" s="99">
        <f t="shared" si="22"/>
        <v>323.17101369863019</v>
      </c>
      <c r="W130" s="32">
        <f t="shared" si="28"/>
        <v>329.63443397260278</v>
      </c>
      <c r="X130" s="32">
        <f t="shared" si="29"/>
        <v>336.09785424657542</v>
      </c>
      <c r="Z130" t="s">
        <v>25</v>
      </c>
      <c r="AH130" s="99">
        <v>110</v>
      </c>
      <c r="AI130" s="113" t="s">
        <v>4652</v>
      </c>
      <c r="AJ130" s="113">
        <v>60000</v>
      </c>
      <c r="AK130" s="99">
        <v>1</v>
      </c>
      <c r="AL130" s="99">
        <f t="shared" si="34"/>
        <v>175</v>
      </c>
      <c r="AM130" s="117">
        <f t="shared" si="33"/>
        <v>10500000</v>
      </c>
      <c r="AN130" s="99" t="s">
        <v>4653</v>
      </c>
    </row>
    <row r="131" spans="6:43">
      <c r="G131" s="99"/>
      <c r="H131" s="99"/>
      <c r="I131" s="99"/>
      <c r="J131" s="99"/>
      <c r="K131" t="s">
        <v>25</v>
      </c>
      <c r="M131">
        <v>126</v>
      </c>
      <c r="N131">
        <v>1</v>
      </c>
      <c r="O131">
        <f>M131*N131</f>
        <v>126</v>
      </c>
      <c r="Q131" s="169">
        <v>5897690</v>
      </c>
      <c r="R131" s="213" t="s">
        <v>5130</v>
      </c>
      <c r="S131" s="213">
        <f>S130-10</f>
        <v>4</v>
      </c>
      <c r="T131" s="213" t="s">
        <v>5134</v>
      </c>
      <c r="U131" s="213">
        <v>236</v>
      </c>
      <c r="V131" s="99">
        <f t="shared" si="22"/>
        <v>240.31136438356168</v>
      </c>
      <c r="W131" s="32">
        <f t="shared" si="28"/>
        <v>245.11759167123293</v>
      </c>
      <c r="X131" s="32">
        <f t="shared" si="29"/>
        <v>249.92381895890415</v>
      </c>
      <c r="Y131" t="s">
        <v>25</v>
      </c>
      <c r="AH131" s="20">
        <v>111</v>
      </c>
      <c r="AI131" s="117" t="s">
        <v>4661</v>
      </c>
      <c r="AJ131" s="117">
        <v>4750000</v>
      </c>
      <c r="AK131" s="20">
        <v>0</v>
      </c>
      <c r="AL131" s="99">
        <f t="shared" si="34"/>
        <v>174</v>
      </c>
      <c r="AM131" s="117">
        <f t="shared" si="33"/>
        <v>826500000</v>
      </c>
      <c r="AN131" s="20"/>
      <c r="AQ131" t="s">
        <v>25</v>
      </c>
    </row>
    <row r="132" spans="6:43">
      <c r="G132" s="99"/>
      <c r="H132" s="99"/>
      <c r="I132" s="1">
        <f>J132-J129</f>
        <v>1380021.8000000007</v>
      </c>
      <c r="J132" s="1">
        <f>SUM(J130:J131)</f>
        <v>11175021.800000001</v>
      </c>
      <c r="L132">
        <v>821</v>
      </c>
      <c r="M132">
        <v>590</v>
      </c>
      <c r="N132">
        <v>0</v>
      </c>
      <c r="O132" s="96">
        <f>M132*N132</f>
        <v>0</v>
      </c>
      <c r="Q132" s="169">
        <v>1203628</v>
      </c>
      <c r="R132" s="213" t="s">
        <v>5138</v>
      </c>
      <c r="S132" s="213">
        <f>S131-2</f>
        <v>2</v>
      </c>
      <c r="T132" s="213" t="s">
        <v>5139</v>
      </c>
      <c r="U132" s="213">
        <v>235.1</v>
      </c>
      <c r="V132" s="99">
        <f t="shared" si="22"/>
        <v>239.03422136986305</v>
      </c>
      <c r="W132" s="32">
        <f t="shared" ref="W132:W136" si="35">V132*(1+$W$19/100)</f>
        <v>243.81490579726031</v>
      </c>
      <c r="X132" s="32">
        <f t="shared" ref="X132:X136" si="36">V132*(1+$X$19/100)</f>
        <v>248.59559022465757</v>
      </c>
      <c r="Y132" t="s">
        <v>25</v>
      </c>
      <c r="AH132" s="89">
        <v>112</v>
      </c>
      <c r="AI132" s="90" t="s">
        <v>4661</v>
      </c>
      <c r="AJ132" s="90">
        <v>13101160</v>
      </c>
      <c r="AK132" s="89">
        <v>1</v>
      </c>
      <c r="AL132" s="89">
        <f t="shared" si="34"/>
        <v>174</v>
      </c>
      <c r="AM132" s="90">
        <f t="shared" si="33"/>
        <v>2279601840</v>
      </c>
      <c r="AN132" s="89" t="s">
        <v>4664</v>
      </c>
    </row>
    <row r="133" spans="6:43">
      <c r="G133" s="99"/>
      <c r="H133" s="99"/>
      <c r="I133" s="99" t="s">
        <v>916</v>
      </c>
      <c r="J133" s="99" t="s">
        <v>6</v>
      </c>
      <c r="Q133" s="169">
        <v>2598983</v>
      </c>
      <c r="R133" s="213" t="s">
        <v>5136</v>
      </c>
      <c r="S133" s="213">
        <f>S132-2</f>
        <v>0</v>
      </c>
      <c r="T133" s="213" t="s">
        <v>5147</v>
      </c>
      <c r="U133" s="213">
        <v>233.2</v>
      </c>
      <c r="V133" s="99">
        <f t="shared" si="22"/>
        <v>236.74464</v>
      </c>
      <c r="W133" s="32">
        <f t="shared" si="35"/>
        <v>241.47953280000002</v>
      </c>
      <c r="X133" s="32">
        <f t="shared" si="36"/>
        <v>246.2144256</v>
      </c>
      <c r="AH133" s="20">
        <v>113</v>
      </c>
      <c r="AI133" s="117" t="s">
        <v>4663</v>
      </c>
      <c r="AJ133" s="117">
        <v>-980000</v>
      </c>
      <c r="AK133" s="20">
        <v>0</v>
      </c>
      <c r="AL133" s="99">
        <f t="shared" si="34"/>
        <v>173</v>
      </c>
      <c r="AM133" s="117">
        <f t="shared" si="33"/>
        <v>-169540000</v>
      </c>
      <c r="AN133" s="20"/>
    </row>
    <row r="134" spans="6:43">
      <c r="O134">
        <f>O130+O131+O132</f>
        <v>834</v>
      </c>
      <c r="Q134" s="169">
        <v>8061801</v>
      </c>
      <c r="R134" s="213" t="s">
        <v>5137</v>
      </c>
      <c r="S134" s="213">
        <f>S133-6</f>
        <v>-6</v>
      </c>
      <c r="T134" s="213" t="s">
        <v>5152</v>
      </c>
      <c r="U134" s="213">
        <v>240.4</v>
      </c>
      <c r="V134" s="99">
        <f t="shared" si="22"/>
        <v>242.94758136986306</v>
      </c>
      <c r="W134" s="32">
        <f t="shared" si="35"/>
        <v>247.80653299726032</v>
      </c>
      <c r="X134" s="32">
        <f t="shared" si="36"/>
        <v>252.66548462465758</v>
      </c>
      <c r="Y134" t="s">
        <v>25</v>
      </c>
      <c r="AH134" s="89">
        <v>114</v>
      </c>
      <c r="AI134" s="90" t="s">
        <v>4663</v>
      </c>
      <c r="AJ134" s="90">
        <v>13301790</v>
      </c>
      <c r="AK134" s="89">
        <v>0</v>
      </c>
      <c r="AL134" s="89">
        <f t="shared" si="34"/>
        <v>173</v>
      </c>
      <c r="AM134" s="90">
        <f t="shared" si="33"/>
        <v>2301209670</v>
      </c>
      <c r="AN134" s="89" t="s">
        <v>4664</v>
      </c>
      <c r="AQ134" t="s">
        <v>25</v>
      </c>
    </row>
    <row r="135" spans="6:43">
      <c r="Q135" s="169">
        <v>48634177</v>
      </c>
      <c r="R135" s="213" t="s">
        <v>5157</v>
      </c>
      <c r="S135" s="213">
        <f>S134-1</f>
        <v>-7</v>
      </c>
      <c r="T135" s="213" t="s">
        <v>5160</v>
      </c>
      <c r="U135" s="213">
        <v>241.4</v>
      </c>
      <c r="V135" s="99">
        <f t="shared" si="22"/>
        <v>243.77299506849317</v>
      </c>
      <c r="W135" s="32">
        <f t="shared" si="35"/>
        <v>248.64845496986305</v>
      </c>
      <c r="X135" s="32">
        <f t="shared" si="36"/>
        <v>253.5239148712329</v>
      </c>
      <c r="AH135" s="20">
        <v>115</v>
      </c>
      <c r="AI135" s="117" t="s">
        <v>4663</v>
      </c>
      <c r="AJ135" s="117">
        <v>404000</v>
      </c>
      <c r="AK135" s="20">
        <v>5</v>
      </c>
      <c r="AL135" s="99">
        <f t="shared" si="34"/>
        <v>173</v>
      </c>
      <c r="AM135" s="117">
        <f t="shared" si="33"/>
        <v>69892000</v>
      </c>
      <c r="AN135" s="20" t="s">
        <v>4671</v>
      </c>
    </row>
    <row r="136" spans="6:43">
      <c r="Q136" s="169">
        <v>15280620</v>
      </c>
      <c r="R136" s="213" t="s">
        <v>5158</v>
      </c>
      <c r="S136" s="213">
        <f>S135-3</f>
        <v>-10</v>
      </c>
      <c r="T136" s="213" t="s">
        <v>5162</v>
      </c>
      <c r="U136" s="213">
        <v>237.8</v>
      </c>
      <c r="V136" s="99">
        <f t="shared" si="22"/>
        <v>239.59034082191783</v>
      </c>
      <c r="W136" s="32">
        <f t="shared" si="35"/>
        <v>244.3821476383562</v>
      </c>
      <c r="X136" s="32">
        <f t="shared" si="36"/>
        <v>249.17395445479457</v>
      </c>
      <c r="Y136" t="s">
        <v>25</v>
      </c>
      <c r="AH136" s="89">
        <v>116</v>
      </c>
      <c r="AI136" s="90" t="s">
        <v>4686</v>
      </c>
      <c r="AJ136" s="90">
        <v>4291628</v>
      </c>
      <c r="AK136" s="89">
        <v>2</v>
      </c>
      <c r="AL136" s="89">
        <f t="shared" si="34"/>
        <v>168</v>
      </c>
      <c r="AM136" s="90">
        <f t="shared" si="33"/>
        <v>720993504</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166</v>
      </c>
      <c r="AM137" s="117">
        <f t="shared" si="33"/>
        <v>166000</v>
      </c>
      <c r="AN137" s="20"/>
    </row>
    <row r="138" spans="6:43">
      <c r="Q138" s="113">
        <f>SUM(N41:N46)-SUM(Q90:Q137)</f>
        <v>142778467.80000007</v>
      </c>
      <c r="R138" s="112"/>
      <c r="S138" s="112"/>
      <c r="T138" s="112"/>
      <c r="U138" s="168"/>
      <c r="V138" s="99" t="s">
        <v>25</v>
      </c>
      <c r="W138" s="32"/>
      <c r="X138" s="32"/>
      <c r="Y138" t="s">
        <v>25</v>
      </c>
      <c r="AH138" s="121">
        <v>118</v>
      </c>
      <c r="AI138" s="79" t="s">
        <v>4697</v>
      </c>
      <c r="AJ138" s="79">
        <v>8739459</v>
      </c>
      <c r="AK138" s="121">
        <v>2</v>
      </c>
      <c r="AL138" s="121">
        <f t="shared" si="34"/>
        <v>161</v>
      </c>
      <c r="AM138" s="79">
        <f t="shared" si="33"/>
        <v>1407052899</v>
      </c>
      <c r="AN138" s="121" t="s">
        <v>4650</v>
      </c>
    </row>
    <row r="139" spans="6:43">
      <c r="P139" s="114" t="s">
        <v>25</v>
      </c>
      <c r="Q139" s="26"/>
      <c r="R139" s="181"/>
      <c r="S139" s="181"/>
      <c r="T139" t="s">
        <v>25</v>
      </c>
      <c r="U139" s="96" t="s">
        <v>25</v>
      </c>
      <c r="V139" s="96" t="s">
        <v>25</v>
      </c>
      <c r="W139" s="96" t="s">
        <v>25</v>
      </c>
      <c r="AH139" s="121">
        <v>119</v>
      </c>
      <c r="AI139" s="79" t="s">
        <v>4698</v>
      </c>
      <c r="AJ139" s="79">
        <v>17595278</v>
      </c>
      <c r="AK139" s="121">
        <v>1</v>
      </c>
      <c r="AL139" s="121">
        <f t="shared" si="34"/>
        <v>159</v>
      </c>
      <c r="AM139" s="79">
        <f t="shared" si="33"/>
        <v>2797649202</v>
      </c>
      <c r="AN139" s="121" t="s">
        <v>4700</v>
      </c>
      <c r="AQ139" t="s">
        <v>25</v>
      </c>
    </row>
    <row r="140" spans="6:43">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158</v>
      </c>
      <c r="AM140" s="79">
        <f t="shared" si="33"/>
        <v>2106978822</v>
      </c>
      <c r="AN140" s="121" t="s">
        <v>4664</v>
      </c>
    </row>
    <row r="141" spans="6:43">
      <c r="F141" t="s">
        <v>4821</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145</v>
      </c>
      <c r="AM141" s="228">
        <f t="shared" si="33"/>
        <v>7250000000</v>
      </c>
      <c r="AN141" s="161" t="s">
        <v>4756</v>
      </c>
      <c r="AP141" t="s">
        <v>25</v>
      </c>
    </row>
    <row r="142" spans="6:43">
      <c r="G142">
        <v>1200</v>
      </c>
      <c r="H142" t="s">
        <v>4822</v>
      </c>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134</v>
      </c>
      <c r="AM142" s="117">
        <f t="shared" si="33"/>
        <v>4020000</v>
      </c>
      <c r="AN142" s="20"/>
    </row>
    <row r="143" spans="6:43">
      <c r="G143">
        <v>1350</v>
      </c>
      <c r="H143" t="s">
        <v>4823</v>
      </c>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131</v>
      </c>
      <c r="AM143" s="117">
        <f t="shared" si="33"/>
        <v>78600000</v>
      </c>
      <c r="AN143" s="20"/>
    </row>
    <row r="144" spans="6:43">
      <c r="G144">
        <v>1050</v>
      </c>
      <c r="H144" t="s">
        <v>4824</v>
      </c>
      <c r="V144" s="96"/>
      <c r="W144"/>
      <c r="X144" t="s">
        <v>25</v>
      </c>
      <c r="Y144" t="s">
        <v>25</v>
      </c>
      <c r="AH144" s="20">
        <v>124</v>
      </c>
      <c r="AI144" s="117" t="s">
        <v>4825</v>
      </c>
      <c r="AJ144" s="117">
        <v>30000</v>
      </c>
      <c r="AK144" s="20">
        <v>3</v>
      </c>
      <c r="AL144" s="20">
        <f t="shared" si="34"/>
        <v>130</v>
      </c>
      <c r="AM144" s="117">
        <f t="shared" si="33"/>
        <v>3900000</v>
      </c>
      <c r="AN144" s="20"/>
    </row>
    <row r="145" spans="16: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127</v>
      </c>
      <c r="AM145" s="117">
        <f t="shared" ref="AM145:AM147" si="37">AJ145*AL145</f>
        <v>285750000</v>
      </c>
      <c r="AN145" s="20"/>
      <c r="AR145" t="s">
        <v>25</v>
      </c>
    </row>
    <row r="146" spans="16:44">
      <c r="Q146" s="113">
        <v>1000</v>
      </c>
      <c r="R146" s="99">
        <v>0.25</v>
      </c>
      <c r="S146" s="99"/>
      <c r="T146" s="99">
        <f>1-R146</f>
        <v>0.75</v>
      </c>
      <c r="U146" s="99"/>
      <c r="V146" s="99"/>
      <c r="W146" s="99"/>
      <c r="AH146" s="23">
        <v>126</v>
      </c>
      <c r="AI146" s="35" t="s">
        <v>4837</v>
      </c>
      <c r="AJ146" s="35">
        <v>-31412200</v>
      </c>
      <c r="AK146" s="23">
        <v>1</v>
      </c>
      <c r="AL146" s="20">
        <f t="shared" si="34"/>
        <v>126</v>
      </c>
      <c r="AM146" s="35">
        <f t="shared" si="37"/>
        <v>-3957937200</v>
      </c>
      <c r="AN146" s="23" t="s">
        <v>4820</v>
      </c>
    </row>
    <row r="147" spans="16: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125</v>
      </c>
      <c r="AM147" s="117">
        <f t="shared" si="37"/>
        <v>8750000</v>
      </c>
      <c r="AN147" s="20"/>
    </row>
    <row r="148" spans="16:44">
      <c r="Q148" s="168" t="s">
        <v>751</v>
      </c>
      <c r="R148" s="56">
        <v>1748044</v>
      </c>
      <c r="S148" s="113">
        <f>R148*$T$257</f>
        <v>677007000.74549305</v>
      </c>
      <c r="T148" s="168"/>
      <c r="U148" s="168">
        <f>$Q$146*$T$146*S148/$R$175</f>
        <v>364.36459443572852</v>
      </c>
      <c r="V148" s="95">
        <f>S148+U148</f>
        <v>677007365.11008751</v>
      </c>
      <c r="W148" s="99">
        <f>R148*100/U254</f>
        <v>48.581945924763801</v>
      </c>
      <c r="X148" s="217"/>
      <c r="Z148" s="96"/>
      <c r="AH148" s="99">
        <v>128</v>
      </c>
      <c r="AI148" s="113" t="s">
        <v>4854</v>
      </c>
      <c r="AJ148" s="113">
        <v>20000</v>
      </c>
      <c r="AK148" s="99">
        <v>10</v>
      </c>
      <c r="AL148" s="20">
        <f t="shared" si="34"/>
        <v>116</v>
      </c>
      <c r="AM148" s="117">
        <f t="shared" ref="AM148:AM149" si="38">AJ148*AL148</f>
        <v>2320000</v>
      </c>
      <c r="AN148" s="20"/>
      <c r="AP148" t="s">
        <v>25</v>
      </c>
    </row>
    <row r="149" spans="16:44">
      <c r="Q149" s="168" t="s">
        <v>4446</v>
      </c>
      <c r="R149" s="56">
        <v>1600297</v>
      </c>
      <c r="S149" s="113">
        <f>R149*$T$257</f>
        <v>619785470.08657122</v>
      </c>
      <c r="T149" s="168"/>
      <c r="U149" s="213">
        <f>$Q$146*$T$146*S149/$R$175</f>
        <v>333.56801509670981</v>
      </c>
      <c r="V149" s="95">
        <f t="shared" ref="V149:V150" si="39">S149+U149</f>
        <v>619785803.65458632</v>
      </c>
      <c r="W149" s="99">
        <f>R149*100/U254</f>
        <v>44.475735346227978</v>
      </c>
      <c r="X149" s="115"/>
      <c r="Z149" s="96"/>
      <c r="AH149" s="99">
        <v>129</v>
      </c>
      <c r="AI149" s="113" t="s">
        <v>4875</v>
      </c>
      <c r="AJ149" s="113">
        <v>1000000</v>
      </c>
      <c r="AK149" s="99">
        <v>1</v>
      </c>
      <c r="AL149" s="20">
        <f t="shared" si="34"/>
        <v>106</v>
      </c>
      <c r="AM149" s="117">
        <f t="shared" si="38"/>
        <v>106000000</v>
      </c>
      <c r="AN149" s="20"/>
    </row>
    <row r="150" spans="16:44">
      <c r="Q150" s="168" t="s">
        <v>4445</v>
      </c>
      <c r="R150" s="56">
        <v>52617</v>
      </c>
      <c r="S150" s="113">
        <f>R150*$T$257</f>
        <v>20378249.837089688</v>
      </c>
      <c r="T150" s="168"/>
      <c r="U150" s="213">
        <f>$Q$146*$T$146*S150/$R$175</f>
        <v>10.967556803733045</v>
      </c>
      <c r="V150" s="95">
        <f t="shared" si="39"/>
        <v>20378260.804646492</v>
      </c>
      <c r="W150" s="99">
        <f>R150*100/U254</f>
        <v>1.462340907164406</v>
      </c>
      <c r="X150" s="115"/>
      <c r="Y150" t="s">
        <v>25</v>
      </c>
      <c r="Z150" s="96"/>
      <c r="AA150" s="114"/>
      <c r="AC150" s="114"/>
      <c r="AD150" s="114"/>
      <c r="AH150" s="99">
        <v>130</v>
      </c>
      <c r="AI150" s="113" t="s">
        <v>4876</v>
      </c>
      <c r="AJ150" s="113">
        <v>65630227</v>
      </c>
      <c r="AK150" s="99">
        <v>0</v>
      </c>
      <c r="AL150" s="20">
        <f t="shared" si="34"/>
        <v>105</v>
      </c>
      <c r="AM150" s="117">
        <f t="shared" ref="AM150:AM186" si="40">AJ150*AL150</f>
        <v>6891173835</v>
      </c>
      <c r="AN150" s="20" t="s">
        <v>4880</v>
      </c>
      <c r="AP150" t="s">
        <v>25</v>
      </c>
      <c r="AR150" t="s">
        <v>25</v>
      </c>
    </row>
    <row r="151" spans="16:44">
      <c r="P151">
        <f>R149+1034</f>
        <v>1601331</v>
      </c>
      <c r="Q151" s="168" t="s">
        <v>1087</v>
      </c>
      <c r="R151" s="56">
        <v>197177</v>
      </c>
      <c r="S151" s="113">
        <f>R151*$T$257</f>
        <v>76365474.430846184</v>
      </c>
      <c r="T151" s="168"/>
      <c r="U151" s="213">
        <f>$Q$146*$T$146*S151/$R$175</f>
        <v>41.099833663828619</v>
      </c>
      <c r="V151" s="95">
        <f>S151+U151</f>
        <v>76365515.530679852</v>
      </c>
      <c r="W151" s="99">
        <f>R151*100/U254</f>
        <v>5.479977821843816</v>
      </c>
      <c r="X151" s="115"/>
      <c r="Z151" s="96"/>
      <c r="AA151" s="114"/>
      <c r="AC151" s="114"/>
      <c r="AH151" s="99">
        <v>131</v>
      </c>
      <c r="AI151" s="113" t="s">
        <v>4876</v>
      </c>
      <c r="AJ151" s="113">
        <v>-3500000</v>
      </c>
      <c r="AK151" s="99">
        <v>6</v>
      </c>
      <c r="AL151" s="20">
        <f t="shared" si="34"/>
        <v>105</v>
      </c>
      <c r="AM151" s="117">
        <f t="shared" si="40"/>
        <v>-367500000</v>
      </c>
      <c r="AN151" s="20" t="s">
        <v>4879</v>
      </c>
    </row>
    <row r="152" spans="16:44">
      <c r="P152" s="114"/>
      <c r="Q152" s="168"/>
      <c r="R152" s="56"/>
      <c r="S152" s="168"/>
      <c r="T152" s="168"/>
      <c r="U152" s="168"/>
      <c r="V152" s="168"/>
      <c r="W152" s="99"/>
      <c r="X152" s="96"/>
      <c r="Y152" t="s">
        <v>25</v>
      </c>
      <c r="Z152" s="96"/>
      <c r="AA152" s="114"/>
      <c r="AC152" s="114"/>
      <c r="AD152" s="114"/>
      <c r="AH152" s="99">
        <v>132</v>
      </c>
      <c r="AI152" s="113" t="s">
        <v>4891</v>
      </c>
      <c r="AJ152" s="113">
        <v>2520000</v>
      </c>
      <c r="AK152" s="99">
        <v>12</v>
      </c>
      <c r="AL152" s="20">
        <f t="shared" si="34"/>
        <v>99</v>
      </c>
      <c r="AM152" s="117">
        <f t="shared" si="40"/>
        <v>249480000</v>
      </c>
      <c r="AN152" s="20"/>
    </row>
    <row r="153" spans="16:44">
      <c r="P153" s="114"/>
      <c r="Q153" s="168"/>
      <c r="R153" s="168"/>
      <c r="S153" s="168"/>
      <c r="T153" s="168"/>
      <c r="U153" s="168"/>
      <c r="V153" s="168"/>
      <c r="W153" s="99"/>
      <c r="X153" s="96"/>
      <c r="Y153" s="96"/>
      <c r="Z153" s="96"/>
      <c r="AH153" s="99">
        <v>133</v>
      </c>
      <c r="AI153" s="113" t="s">
        <v>4927</v>
      </c>
      <c r="AJ153" s="113">
        <v>1400000</v>
      </c>
      <c r="AK153" s="99">
        <v>4</v>
      </c>
      <c r="AL153" s="20">
        <f t="shared" si="34"/>
        <v>87</v>
      </c>
      <c r="AM153" s="117">
        <f t="shared" si="40"/>
        <v>121800000</v>
      </c>
      <c r="AN153" s="20"/>
    </row>
    <row r="154" spans="16:44">
      <c r="P154" s="114"/>
      <c r="Q154" s="99"/>
      <c r="R154" s="99"/>
      <c r="S154" s="99"/>
      <c r="T154" s="99" t="s">
        <v>25</v>
      </c>
      <c r="U154" s="99"/>
      <c r="V154" s="99"/>
      <c r="W154" s="99"/>
      <c r="X154" s="96"/>
      <c r="Y154" s="96"/>
      <c r="Z154" s="96"/>
      <c r="AH154" s="99">
        <v>134</v>
      </c>
      <c r="AI154" s="113" t="s">
        <v>4954</v>
      </c>
      <c r="AJ154" s="113">
        <v>1550000</v>
      </c>
      <c r="AK154" s="99">
        <v>2</v>
      </c>
      <c r="AL154" s="20">
        <f t="shared" si="34"/>
        <v>83</v>
      </c>
      <c r="AM154" s="117">
        <f t="shared" si="40"/>
        <v>128650000</v>
      </c>
      <c r="AN154" s="20"/>
    </row>
    <row r="155" spans="16:44">
      <c r="Q155" s="99"/>
      <c r="R155" s="99"/>
      <c r="S155" s="99"/>
      <c r="T155" s="99"/>
      <c r="U155" s="99"/>
      <c r="V155" s="99"/>
      <c r="W155" s="99"/>
      <c r="X155" s="96"/>
      <c r="Y155" s="96"/>
      <c r="Z155" s="96"/>
      <c r="AH155" s="99">
        <v>135</v>
      </c>
      <c r="AI155" s="113" t="s">
        <v>4899</v>
      </c>
      <c r="AJ155" s="113">
        <v>250000</v>
      </c>
      <c r="AK155" s="99">
        <v>6</v>
      </c>
      <c r="AL155" s="20">
        <f t="shared" si="34"/>
        <v>81</v>
      </c>
      <c r="AM155" s="117">
        <f t="shared" si="40"/>
        <v>20250000</v>
      </c>
      <c r="AN155" s="20"/>
    </row>
    <row r="156" spans="16:44">
      <c r="Q156" s="99"/>
      <c r="R156" s="99"/>
      <c r="S156" s="99"/>
      <c r="T156" s="99"/>
      <c r="U156" s="99"/>
      <c r="V156" s="99"/>
      <c r="W156" s="99"/>
      <c r="X156" s="96"/>
      <c r="Y156" s="122" t="s">
        <v>25</v>
      </c>
      <c r="Z156" s="96"/>
      <c r="AH156" s="99">
        <v>136</v>
      </c>
      <c r="AI156" s="113" t="s">
        <v>4964</v>
      </c>
      <c r="AJ156" s="113">
        <v>-48527480</v>
      </c>
      <c r="AK156" s="99">
        <v>14</v>
      </c>
      <c r="AL156" s="20">
        <f t="shared" si="34"/>
        <v>75</v>
      </c>
      <c r="AM156" s="117">
        <f t="shared" si="40"/>
        <v>-3639561000</v>
      </c>
      <c r="AN156" s="20" t="s">
        <v>4966</v>
      </c>
    </row>
    <row r="157" spans="16:44">
      <c r="Q157" s="96"/>
      <c r="R157" s="96"/>
      <c r="S157" s="96"/>
      <c r="T157" s="96"/>
      <c r="V157" s="96"/>
      <c r="X157" s="115"/>
      <c r="Y157" s="96"/>
      <c r="Z157" s="96"/>
      <c r="AH157" s="99">
        <v>137</v>
      </c>
      <c r="AI157" s="113" t="s">
        <v>4992</v>
      </c>
      <c r="AJ157" s="113">
        <v>2100000</v>
      </c>
      <c r="AK157" s="99">
        <v>1</v>
      </c>
      <c r="AL157" s="20">
        <f t="shared" si="34"/>
        <v>61</v>
      </c>
      <c r="AM157" s="117">
        <f t="shared" si="40"/>
        <v>128100000</v>
      </c>
      <c r="AN157" s="20"/>
    </row>
    <row r="158" spans="16:44">
      <c r="P158" s="114"/>
      <c r="Q158" s="99" t="s">
        <v>5060</v>
      </c>
      <c r="R158" s="95">
        <f>S148-R163</f>
        <v>171403512.44549304</v>
      </c>
      <c r="S158" s="96"/>
      <c r="T158" s="96"/>
      <c r="V158" s="96"/>
      <c r="Y158" s="96"/>
      <c r="Z158" s="96"/>
      <c r="AH158" s="99">
        <v>138</v>
      </c>
      <c r="AI158" s="113" t="s">
        <v>4997</v>
      </c>
      <c r="AJ158" s="113">
        <v>100000</v>
      </c>
      <c r="AK158" s="99">
        <v>4</v>
      </c>
      <c r="AL158" s="20">
        <f>AL159+AK158</f>
        <v>60</v>
      </c>
      <c r="AM158" s="117">
        <f t="shared" si="40"/>
        <v>6000000</v>
      </c>
      <c r="AN158" s="20"/>
      <c r="AQ158" t="s">
        <v>25</v>
      </c>
    </row>
    <row r="159" spans="16:44">
      <c r="Q159" s="99" t="s">
        <v>5061</v>
      </c>
      <c r="R159" s="95">
        <f>S151+S150-R164</f>
        <v>11816717.267935872</v>
      </c>
      <c r="S159" s="96"/>
      <c r="T159" s="96" t="s">
        <v>25</v>
      </c>
      <c r="V159" s="96"/>
      <c r="Y159" s="96"/>
      <c r="Z159" s="96"/>
      <c r="AH159" s="99">
        <v>139</v>
      </c>
      <c r="AI159" s="113" t="s">
        <v>5004</v>
      </c>
      <c r="AJ159" s="113">
        <v>900000</v>
      </c>
      <c r="AK159" s="99">
        <v>0</v>
      </c>
      <c r="AL159" s="20">
        <f t="shared" ref="AL159:AL168" si="41">AL160+AK159</f>
        <v>56</v>
      </c>
      <c r="AM159" s="117">
        <f t="shared" ref="AM159:AM168" si="42">AJ159*AL159</f>
        <v>50400000</v>
      </c>
      <c r="AN159" s="20"/>
      <c r="AP159" t="s">
        <v>25</v>
      </c>
    </row>
    <row r="160" spans="16:44">
      <c r="P160" s="114"/>
      <c r="Q160" s="96"/>
      <c r="R160" s="96"/>
      <c r="S160" s="96"/>
      <c r="T160" s="96"/>
      <c r="V160" s="96"/>
      <c r="Y160" s="96"/>
      <c r="AH160" s="99">
        <v>140</v>
      </c>
      <c r="AI160" s="113" t="s">
        <v>5004</v>
      </c>
      <c r="AJ160" s="113">
        <v>1100000</v>
      </c>
      <c r="AK160" s="99">
        <v>0</v>
      </c>
      <c r="AL160" s="20">
        <f t="shared" si="41"/>
        <v>56</v>
      </c>
      <c r="AM160" s="117">
        <f t="shared" si="42"/>
        <v>61600000</v>
      </c>
      <c r="AN160" s="20" t="s">
        <v>5024</v>
      </c>
      <c r="AQ160" t="s">
        <v>25</v>
      </c>
    </row>
    <row r="161" spans="15:43">
      <c r="O161" s="96"/>
      <c r="Q161" s="96"/>
      <c r="R161" s="96"/>
      <c r="S161" s="96"/>
      <c r="T161" s="99" t="s">
        <v>180</v>
      </c>
      <c r="U161" s="99" t="s">
        <v>4480</v>
      </c>
      <c r="V161" s="99" t="s">
        <v>4481</v>
      </c>
      <c r="W161" s="99" t="s">
        <v>4491</v>
      </c>
      <c r="X161" s="99" t="s">
        <v>8</v>
      </c>
      <c r="Y161" s="96"/>
      <c r="AH161" s="99">
        <v>141</v>
      </c>
      <c r="AI161" s="113" t="s">
        <v>5004</v>
      </c>
      <c r="AJ161" s="113">
        <v>115000</v>
      </c>
      <c r="AK161" s="99"/>
      <c r="AL161" s="20">
        <f t="shared" si="41"/>
        <v>56</v>
      </c>
      <c r="AM161" s="117">
        <f t="shared" si="42"/>
        <v>6440000</v>
      </c>
      <c r="AN161" s="20"/>
      <c r="AQ161" t="s">
        <v>25</v>
      </c>
    </row>
    <row r="162" spans="15:43">
      <c r="O162" s="96"/>
      <c r="Q162" s="36" t="s">
        <v>4566</v>
      </c>
      <c r="R162" s="95">
        <f>SUM(N41:N46)</f>
        <v>802310776.80000007</v>
      </c>
      <c r="T162" s="113" t="s">
        <v>4456</v>
      </c>
      <c r="U162" s="56">
        <v>1000000</v>
      </c>
      <c r="V162" s="113">
        <v>239.024</v>
      </c>
      <c r="W162" s="113">
        <f t="shared" ref="W162:W252" si="43">U162*V162</f>
        <v>239024000</v>
      </c>
      <c r="X162" s="99"/>
      <c r="Y162" s="96"/>
      <c r="AH162" s="99">
        <v>142</v>
      </c>
      <c r="AI162" s="113" t="s">
        <v>5014</v>
      </c>
      <c r="AJ162" s="113">
        <v>-1100000</v>
      </c>
      <c r="AK162" s="99"/>
      <c r="AL162" s="20">
        <f t="shared" si="41"/>
        <v>56</v>
      </c>
      <c r="AM162" s="117">
        <f t="shared" si="42"/>
        <v>-61600000</v>
      </c>
      <c r="AN162" s="20" t="s">
        <v>5025</v>
      </c>
      <c r="AQ162" t="s">
        <v>25</v>
      </c>
    </row>
    <row r="163" spans="15:43">
      <c r="Q163" s="99" t="s">
        <v>4447</v>
      </c>
      <c r="R163" s="95">
        <f>SUM(N21:N23)</f>
        <v>505603488.30000001</v>
      </c>
      <c r="T163" s="168" t="s">
        <v>4438</v>
      </c>
      <c r="U163" s="56">
        <v>5904</v>
      </c>
      <c r="V163" s="113">
        <v>237.148</v>
      </c>
      <c r="W163" s="113">
        <f t="shared" si="43"/>
        <v>1400121.7919999999</v>
      </c>
      <c r="X163" s="99" t="s">
        <v>751</v>
      </c>
      <c r="Y163" s="96"/>
      <c r="AH163" s="99">
        <v>143</v>
      </c>
      <c r="AI163" s="113" t="s">
        <v>5014</v>
      </c>
      <c r="AJ163" s="113">
        <v>900000</v>
      </c>
      <c r="AK163" s="99">
        <v>1</v>
      </c>
      <c r="AL163" s="20">
        <f t="shared" si="41"/>
        <v>56</v>
      </c>
      <c r="AM163" s="117">
        <f t="shared" si="42"/>
        <v>50400000</v>
      </c>
      <c r="AN163" s="20" t="s">
        <v>5024</v>
      </c>
    </row>
    <row r="164" spans="15:43">
      <c r="Q164" s="99" t="s">
        <v>4448</v>
      </c>
      <c r="R164" s="95">
        <f>SUM(N26:N28)</f>
        <v>84927007</v>
      </c>
      <c r="T164" s="168" t="s">
        <v>4231</v>
      </c>
      <c r="U164" s="168">
        <v>1000</v>
      </c>
      <c r="V164" s="113">
        <v>247.393</v>
      </c>
      <c r="W164" s="113">
        <f t="shared" si="43"/>
        <v>247393</v>
      </c>
      <c r="X164" s="99" t="s">
        <v>751</v>
      </c>
      <c r="Y164" s="96"/>
      <c r="AH164" s="99">
        <v>144</v>
      </c>
      <c r="AI164" s="113" t="s">
        <v>5022</v>
      </c>
      <c r="AJ164" s="113">
        <v>2000000</v>
      </c>
      <c r="AK164" s="99">
        <v>0</v>
      </c>
      <c r="AL164" s="20">
        <f t="shared" si="41"/>
        <v>55</v>
      </c>
      <c r="AM164" s="117">
        <f t="shared" si="42"/>
        <v>110000000</v>
      </c>
      <c r="AN164" s="20"/>
    </row>
    <row r="165" spans="15:43">
      <c r="Q165" s="99" t="s">
        <v>4449</v>
      </c>
      <c r="R165" s="95">
        <f>N39</f>
        <v>202</v>
      </c>
      <c r="T165" s="168" t="s">
        <v>4492</v>
      </c>
      <c r="U165" s="168">
        <v>8071</v>
      </c>
      <c r="V165" s="113">
        <v>247.797</v>
      </c>
      <c r="W165" s="113">
        <f t="shared" si="43"/>
        <v>1999969.5870000001</v>
      </c>
      <c r="X165" s="99" t="s">
        <v>4445</v>
      </c>
      <c r="Y165" s="96"/>
      <c r="AH165" s="99">
        <v>145</v>
      </c>
      <c r="AI165" s="113" t="s">
        <v>5022</v>
      </c>
      <c r="AJ165" s="113">
        <v>360000</v>
      </c>
      <c r="AK165" s="99">
        <v>1</v>
      </c>
      <c r="AL165" s="20">
        <f t="shared" si="41"/>
        <v>55</v>
      </c>
      <c r="AM165" s="117">
        <f t="shared" si="42"/>
        <v>19800000</v>
      </c>
      <c r="AN165" s="20"/>
    </row>
    <row r="166" spans="15:43">
      <c r="Q166" s="99" t="s">
        <v>4450</v>
      </c>
      <c r="R166" s="95">
        <f>N20</f>
        <v>90</v>
      </c>
      <c r="T166" s="168" t="s">
        <v>4492</v>
      </c>
      <c r="U166" s="168">
        <v>53672</v>
      </c>
      <c r="V166" s="113">
        <v>247.797</v>
      </c>
      <c r="W166" s="113">
        <f t="shared" si="43"/>
        <v>13299760.584000001</v>
      </c>
      <c r="X166" s="99" t="s">
        <v>452</v>
      </c>
      <c r="Y166" t="s">
        <v>25</v>
      </c>
      <c r="AH166" s="99">
        <v>146</v>
      </c>
      <c r="AI166" s="113" t="s">
        <v>5023</v>
      </c>
      <c r="AJ166" s="113">
        <v>3000000</v>
      </c>
      <c r="AK166" s="99">
        <v>1</v>
      </c>
      <c r="AL166" s="20">
        <f t="shared" si="41"/>
        <v>54</v>
      </c>
      <c r="AM166" s="117">
        <f t="shared" si="42"/>
        <v>162000000</v>
      </c>
      <c r="AN166" s="20"/>
    </row>
    <row r="167" spans="15:43">
      <c r="Q167" s="99" t="s">
        <v>4451</v>
      </c>
      <c r="R167" s="95">
        <f>N25</f>
        <v>131</v>
      </c>
      <c r="T167" s="168" t="s">
        <v>4500</v>
      </c>
      <c r="U167" s="168">
        <v>4099</v>
      </c>
      <c r="V167" s="113">
        <v>243.93</v>
      </c>
      <c r="W167" s="113">
        <f t="shared" si="43"/>
        <v>999869.07000000007</v>
      </c>
      <c r="X167" s="99" t="s">
        <v>4445</v>
      </c>
      <c r="AH167" s="99">
        <v>147</v>
      </c>
      <c r="AI167" s="113" t="s">
        <v>5019</v>
      </c>
      <c r="AJ167" s="113">
        <v>-658226</v>
      </c>
      <c r="AK167" s="99">
        <v>1</v>
      </c>
      <c r="AL167" s="20">
        <f t="shared" si="41"/>
        <v>53</v>
      </c>
      <c r="AM167" s="117">
        <f t="shared" si="42"/>
        <v>-34885978</v>
      </c>
      <c r="AN167" s="20"/>
    </row>
    <row r="168" spans="15:43">
      <c r="Q168" s="99" t="s">
        <v>4463</v>
      </c>
      <c r="R168" s="95">
        <v>0</v>
      </c>
      <c r="T168" s="168" t="s">
        <v>4500</v>
      </c>
      <c r="U168" s="168">
        <v>9301</v>
      </c>
      <c r="V168" s="113">
        <v>243.93</v>
      </c>
      <c r="W168" s="113">
        <f t="shared" si="43"/>
        <v>2268792.9300000002</v>
      </c>
      <c r="X168" s="99" t="s">
        <v>452</v>
      </c>
      <c r="Y168" t="s">
        <v>25</v>
      </c>
      <c r="AH168" s="99">
        <v>148</v>
      </c>
      <c r="AI168" s="113" t="s">
        <v>5026</v>
      </c>
      <c r="AJ168" s="113">
        <v>1000000</v>
      </c>
      <c r="AK168" s="99">
        <v>15</v>
      </c>
      <c r="AL168" s="20">
        <f t="shared" si="41"/>
        <v>52</v>
      </c>
      <c r="AM168" s="117">
        <f t="shared" si="42"/>
        <v>52000000</v>
      </c>
      <c r="AN168" s="20"/>
      <c r="AP168" t="s">
        <v>25</v>
      </c>
    </row>
    <row r="169" spans="15:43">
      <c r="Q169" s="99" t="s">
        <v>4928</v>
      </c>
      <c r="R169" s="95">
        <v>0</v>
      </c>
      <c r="T169" s="168" t="s">
        <v>4506</v>
      </c>
      <c r="U169" s="168">
        <v>8334</v>
      </c>
      <c r="V169" s="113">
        <v>239.97</v>
      </c>
      <c r="W169" s="113">
        <f t="shared" si="43"/>
        <v>1999909.98</v>
      </c>
      <c r="X169" s="99" t="s">
        <v>4445</v>
      </c>
      <c r="AH169" s="99">
        <v>149</v>
      </c>
      <c r="AI169" s="113" t="s">
        <v>5066</v>
      </c>
      <c r="AJ169" s="113">
        <v>1130250</v>
      </c>
      <c r="AK169" s="99">
        <v>5</v>
      </c>
      <c r="AL169" s="20">
        <f t="shared" si="34"/>
        <v>37</v>
      </c>
      <c r="AM169" s="117">
        <f t="shared" si="40"/>
        <v>41819250</v>
      </c>
      <c r="AN169" s="20"/>
    </row>
    <row r="170" spans="15:43">
      <c r="Q170" s="99" t="s">
        <v>5111</v>
      </c>
      <c r="R170" s="95">
        <v>204600</v>
      </c>
      <c r="T170" s="168" t="s">
        <v>4230</v>
      </c>
      <c r="U170" s="168">
        <v>29041</v>
      </c>
      <c r="V170" s="113">
        <v>233.45</v>
      </c>
      <c r="W170" s="113">
        <f t="shared" si="43"/>
        <v>6779621.4499999993</v>
      </c>
      <c r="X170" s="99" t="s">
        <v>751</v>
      </c>
      <c r="Y170" t="s">
        <v>25</v>
      </c>
      <c r="AE170" s="96" t="s">
        <v>25</v>
      </c>
      <c r="AH170" s="99">
        <v>150</v>
      </c>
      <c r="AI170" s="113" t="s">
        <v>5082</v>
      </c>
      <c r="AJ170" s="113">
        <v>206000</v>
      </c>
      <c r="AK170" s="99">
        <v>2</v>
      </c>
      <c r="AL170" s="20">
        <f t="shared" si="34"/>
        <v>32</v>
      </c>
      <c r="AM170" s="117">
        <f t="shared" si="40"/>
        <v>6592000</v>
      </c>
      <c r="AN170" s="20"/>
    </row>
    <row r="171" spans="15:43">
      <c r="Q171" s="99" t="s">
        <v>5112</v>
      </c>
      <c r="R171" s="95">
        <v>0</v>
      </c>
      <c r="S171" s="115"/>
      <c r="T171" s="168" t="s">
        <v>994</v>
      </c>
      <c r="U171" s="168">
        <v>12337</v>
      </c>
      <c r="V171" s="113">
        <v>243.16300000000001</v>
      </c>
      <c r="W171" s="113">
        <f t="shared" si="43"/>
        <v>2999901.9310000003</v>
      </c>
      <c r="X171" s="99" t="s">
        <v>4445</v>
      </c>
      <c r="AH171" s="99">
        <v>151</v>
      </c>
      <c r="AI171" s="113" t="s">
        <v>5090</v>
      </c>
      <c r="AJ171" s="113">
        <v>50000</v>
      </c>
      <c r="AK171" s="99">
        <v>2</v>
      </c>
      <c r="AL171" s="20">
        <f t="shared" si="34"/>
        <v>30</v>
      </c>
      <c r="AM171" s="117">
        <f t="shared" si="40"/>
        <v>1500000</v>
      </c>
      <c r="AN171" s="20"/>
    </row>
    <row r="172" spans="15:43">
      <c r="Q172" s="99" t="s">
        <v>5113</v>
      </c>
      <c r="R172" s="95">
        <v>0</v>
      </c>
      <c r="S172" s="122"/>
      <c r="T172" s="168" t="s">
        <v>4587</v>
      </c>
      <c r="U172" s="168">
        <v>-16118</v>
      </c>
      <c r="V172" s="113">
        <v>248.17</v>
      </c>
      <c r="W172" s="113">
        <f t="shared" si="43"/>
        <v>-4000004.0599999996</v>
      </c>
      <c r="X172" s="99" t="s">
        <v>751</v>
      </c>
      <c r="AH172" s="99">
        <v>152</v>
      </c>
      <c r="AI172" s="113" t="s">
        <v>5097</v>
      </c>
      <c r="AJ172" s="113">
        <v>105000</v>
      </c>
      <c r="AK172" s="99">
        <v>4</v>
      </c>
      <c r="AL172" s="20">
        <f t="shared" si="34"/>
        <v>28</v>
      </c>
      <c r="AM172" s="117">
        <f t="shared" si="40"/>
        <v>2940000</v>
      </c>
      <c r="AN172" s="20"/>
    </row>
    <row r="173" spans="15:43">
      <c r="Q173" s="99" t="s">
        <v>5150</v>
      </c>
      <c r="R173" s="95">
        <v>200000</v>
      </c>
      <c r="S173" s="115"/>
      <c r="T173" s="168" t="s">
        <v>4615</v>
      </c>
      <c r="U173" s="168">
        <v>101681</v>
      </c>
      <c r="V173" s="113">
        <v>246.5711</v>
      </c>
      <c r="W173" s="113">
        <f t="shared" si="43"/>
        <v>25071596.019099999</v>
      </c>
      <c r="X173" s="99" t="s">
        <v>452</v>
      </c>
      <c r="AH173" s="99">
        <v>153</v>
      </c>
      <c r="AI173" s="113" t="s">
        <v>5103</v>
      </c>
      <c r="AJ173" s="113">
        <v>5000000</v>
      </c>
      <c r="AK173" s="99">
        <v>1</v>
      </c>
      <c r="AL173" s="20">
        <f t="shared" si="34"/>
        <v>24</v>
      </c>
      <c r="AM173" s="117">
        <f t="shared" si="40"/>
        <v>120000000</v>
      </c>
      <c r="AN173" s="20"/>
    </row>
    <row r="174" spans="15:43">
      <c r="Q174" s="99" t="s">
        <v>5110</v>
      </c>
      <c r="R174" s="95">
        <v>289900</v>
      </c>
      <c r="S174" s="115"/>
      <c r="T174" s="168" t="s">
        <v>4619</v>
      </c>
      <c r="U174" s="168">
        <v>66606</v>
      </c>
      <c r="V174" s="113">
        <v>251.131</v>
      </c>
      <c r="W174" s="113">
        <f t="shared" si="43"/>
        <v>16726831.386</v>
      </c>
      <c r="X174" s="99" t="s">
        <v>751</v>
      </c>
      <c r="AH174" s="99">
        <v>154</v>
      </c>
      <c r="AI174" s="113" t="s">
        <v>5106</v>
      </c>
      <c r="AJ174" s="113">
        <v>2500000</v>
      </c>
      <c r="AK174" s="99">
        <v>2</v>
      </c>
      <c r="AL174" s="20">
        <f t="shared" si="34"/>
        <v>23</v>
      </c>
      <c r="AM174" s="117">
        <f t="shared" si="40"/>
        <v>57500000</v>
      </c>
      <c r="AN174" s="20"/>
    </row>
    <row r="175" spans="15:43">
      <c r="Q175" s="99" t="s">
        <v>4455</v>
      </c>
      <c r="R175" s="95">
        <f>SUM(R162:R174)</f>
        <v>1393536195.1000001</v>
      </c>
      <c r="T175" s="168" t="s">
        <v>4624</v>
      </c>
      <c r="U175" s="168">
        <v>172025</v>
      </c>
      <c r="V175" s="113">
        <v>245.52809999999999</v>
      </c>
      <c r="W175" s="113">
        <f t="shared" si="43"/>
        <v>42236971.402499996</v>
      </c>
      <c r="X175" s="99" t="s">
        <v>452</v>
      </c>
      <c r="AH175" s="270">
        <v>155</v>
      </c>
      <c r="AI175" s="266" t="s">
        <v>5117</v>
      </c>
      <c r="AJ175" s="266">
        <v>-50000000</v>
      </c>
      <c r="AK175" s="270">
        <v>7</v>
      </c>
      <c r="AL175" s="270">
        <f t="shared" si="34"/>
        <v>21</v>
      </c>
      <c r="AM175" s="266">
        <f t="shared" si="40"/>
        <v>-1050000000</v>
      </c>
      <c r="AN175" s="270" t="s">
        <v>5129</v>
      </c>
    </row>
    <row r="176" spans="15:43">
      <c r="Q176" s="96"/>
      <c r="T176" s="168" t="s">
        <v>4624</v>
      </c>
      <c r="U176" s="168">
        <v>189227</v>
      </c>
      <c r="V176" s="113">
        <v>245.52809999999999</v>
      </c>
      <c r="W176" s="113">
        <f t="shared" si="43"/>
        <v>46460545.778700002</v>
      </c>
      <c r="X176" s="99" t="s">
        <v>751</v>
      </c>
      <c r="AH176" s="99">
        <v>156</v>
      </c>
      <c r="AI176" s="113" t="s">
        <v>5127</v>
      </c>
      <c r="AJ176" s="113">
        <v>10000000</v>
      </c>
      <c r="AK176" s="99">
        <v>12</v>
      </c>
      <c r="AL176" s="20">
        <f t="shared" si="34"/>
        <v>14</v>
      </c>
      <c r="AM176" s="117">
        <f t="shared" si="40"/>
        <v>140000000</v>
      </c>
      <c r="AN176" s="20" t="s">
        <v>4756</v>
      </c>
    </row>
    <row r="177" spans="17:44">
      <c r="T177" s="168" t="s">
        <v>4625</v>
      </c>
      <c r="U177" s="168">
        <v>79720</v>
      </c>
      <c r="V177" s="113">
        <v>246.6568</v>
      </c>
      <c r="W177" s="113">
        <f t="shared" si="43"/>
        <v>19663480.096000001</v>
      </c>
      <c r="X177" s="99" t="s">
        <v>452</v>
      </c>
      <c r="AH177" s="99">
        <v>157</v>
      </c>
      <c r="AI177" s="113" t="s">
        <v>5137</v>
      </c>
      <c r="AJ177" s="113">
        <v>-16266000</v>
      </c>
      <c r="AK177" s="99">
        <v>1</v>
      </c>
      <c r="AL177" s="20">
        <f t="shared" si="34"/>
        <v>2</v>
      </c>
      <c r="AM177" s="117">
        <f t="shared" si="40"/>
        <v>-32532000</v>
      </c>
      <c r="AN177" s="20" t="s">
        <v>5156</v>
      </c>
    </row>
    <row r="178" spans="17:44">
      <c r="Q178" s="99" t="s">
        <v>8</v>
      </c>
      <c r="R178" s="99" t="s">
        <v>4445</v>
      </c>
      <c r="S178" s="99"/>
      <c r="T178" s="168" t="s">
        <v>4625</v>
      </c>
      <c r="U178" s="168">
        <v>79720</v>
      </c>
      <c r="V178" s="113">
        <v>246.6568</v>
      </c>
      <c r="W178" s="113">
        <f t="shared" si="43"/>
        <v>19663480.096000001</v>
      </c>
      <c r="X178" s="99" t="s">
        <v>751</v>
      </c>
      <c r="AH178" s="99">
        <v>158</v>
      </c>
      <c r="AI178" s="113" t="s">
        <v>5157</v>
      </c>
      <c r="AJ178" s="113">
        <v>1000000</v>
      </c>
      <c r="AK178" s="99">
        <v>1</v>
      </c>
      <c r="AL178" s="20">
        <f>AL186+AK178</f>
        <v>1</v>
      </c>
      <c r="AM178" s="117">
        <f t="shared" si="40"/>
        <v>1000000</v>
      </c>
      <c r="AN178" s="20"/>
    </row>
    <row r="179" spans="17:44">
      <c r="Q179" s="99"/>
      <c r="R179" s="36" t="s">
        <v>180</v>
      </c>
      <c r="S179" s="99" t="s">
        <v>267</v>
      </c>
      <c r="T179" s="168" t="s">
        <v>4649</v>
      </c>
      <c r="U179" s="168">
        <v>17769</v>
      </c>
      <c r="V179" s="113">
        <v>246.17877999999999</v>
      </c>
      <c r="W179" s="113">
        <f t="shared" si="43"/>
        <v>4374350.7418200001</v>
      </c>
      <c r="X179" s="99" t="s">
        <v>751</v>
      </c>
      <c r="Y179" t="s">
        <v>25</v>
      </c>
      <c r="AH179" s="99"/>
      <c r="AI179" s="113"/>
      <c r="AJ179" s="113"/>
      <c r="AK179" s="99"/>
      <c r="AL179" s="20"/>
      <c r="AM179" s="117"/>
      <c r="AN179" s="20"/>
    </row>
    <row r="180" spans="17: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c r="AM180" s="117"/>
      <c r="AN180" s="20"/>
    </row>
    <row r="181" spans="17: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c r="AM181" s="117"/>
      <c r="AN181" s="20"/>
    </row>
    <row r="182" spans="17: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c r="AM182" s="117"/>
      <c r="AN182" s="20"/>
    </row>
    <row r="183" spans="17:44">
      <c r="Q183" s="99"/>
      <c r="R183" s="99" t="s">
        <v>4506</v>
      </c>
      <c r="S183" s="95">
        <v>2000000</v>
      </c>
      <c r="T183" s="168" t="s">
        <v>4661</v>
      </c>
      <c r="U183" s="168">
        <v>27363</v>
      </c>
      <c r="V183" s="113">
        <v>239.3886</v>
      </c>
      <c r="W183" s="113">
        <f t="shared" si="43"/>
        <v>6550390.2617999995</v>
      </c>
      <c r="X183" s="99" t="s">
        <v>452</v>
      </c>
      <c r="AH183" s="99"/>
      <c r="AI183" s="113"/>
      <c r="AJ183" s="113"/>
      <c r="AK183" s="99"/>
      <c r="AL183" s="20"/>
      <c r="AM183" s="117"/>
      <c r="AN183" s="20"/>
      <c r="AQ183" t="s">
        <v>25</v>
      </c>
    </row>
    <row r="184" spans="17:44">
      <c r="Q184" s="99"/>
      <c r="R184" s="99" t="s">
        <v>994</v>
      </c>
      <c r="S184" s="95">
        <v>3000000</v>
      </c>
      <c r="T184" s="210" t="s">
        <v>4663</v>
      </c>
      <c r="U184" s="210">
        <v>27437</v>
      </c>
      <c r="V184" s="113">
        <v>242.4015</v>
      </c>
      <c r="W184" s="113">
        <f t="shared" si="43"/>
        <v>6650769.9555000002</v>
      </c>
      <c r="X184" s="99" t="s">
        <v>751</v>
      </c>
      <c r="AH184" s="99"/>
      <c r="AI184" s="113"/>
      <c r="AJ184" s="113"/>
      <c r="AK184" s="99"/>
      <c r="AL184" s="20"/>
      <c r="AM184" s="117"/>
      <c r="AN184" s="20"/>
      <c r="AR184" t="s">
        <v>25</v>
      </c>
    </row>
    <row r="185" spans="17:44">
      <c r="Q185" s="99"/>
      <c r="R185" s="99" t="s">
        <v>4652</v>
      </c>
      <c r="S185" s="95">
        <v>3000000</v>
      </c>
      <c r="T185" s="210" t="s">
        <v>4663</v>
      </c>
      <c r="U185" s="210">
        <v>29104</v>
      </c>
      <c r="V185" s="113">
        <v>242.4015</v>
      </c>
      <c r="W185" s="113">
        <f t="shared" si="43"/>
        <v>7054853.2560000001</v>
      </c>
      <c r="X185" s="99" t="s">
        <v>452</v>
      </c>
      <c r="AH185" s="99"/>
      <c r="AI185" s="113"/>
      <c r="AJ185" s="113"/>
      <c r="AK185" s="99"/>
      <c r="AL185" s="20"/>
      <c r="AM185" s="117"/>
      <c r="AN185" s="20"/>
    </row>
    <row r="186" spans="17: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99">
        <f t="shared" si="34"/>
        <v>0</v>
      </c>
      <c r="AM186" s="117">
        <f t="shared" si="40"/>
        <v>0</v>
      </c>
      <c r="AN186" s="99"/>
      <c r="AQ186" t="s">
        <v>25</v>
      </c>
      <c r="AR186" t="s">
        <v>25</v>
      </c>
    </row>
    <row r="187" spans="17: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494778657</v>
      </c>
      <c r="AK187" s="99"/>
      <c r="AL187" s="99"/>
      <c r="AM187" s="95">
        <f>SUM(AM20:AM186)</f>
        <v>127605025286</v>
      </c>
      <c r="AN187" s="95">
        <f>AM187*AN190/31</f>
        <v>68606224.401347175</v>
      </c>
    </row>
    <row r="188" spans="17: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7: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7:44">
      <c r="Q190" s="20" t="s">
        <v>4958</v>
      </c>
      <c r="R190" s="20" t="s">
        <v>4956</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7:44">
      <c r="Q191" s="149" t="s">
        <v>4984</v>
      </c>
      <c r="R191" s="149" t="s">
        <v>4983</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7:44">
      <c r="Q192" s="149"/>
      <c r="R192" s="149" t="s">
        <v>5040</v>
      </c>
      <c r="S192" s="150">
        <v>30500000</v>
      </c>
      <c r="T192" s="213" t="s">
        <v>4708</v>
      </c>
      <c r="U192" s="213">
        <v>28066</v>
      </c>
      <c r="V192" s="113">
        <v>237.56970000000001</v>
      </c>
      <c r="W192" s="113">
        <f t="shared" si="43"/>
        <v>6667631.2002000008</v>
      </c>
      <c r="X192" s="99" t="s">
        <v>751</v>
      </c>
      <c r="AH192" s="99"/>
      <c r="AI192" s="99" t="s">
        <v>4061</v>
      </c>
      <c r="AJ192" s="95">
        <f>AJ187+AN187</f>
        <v>563384881.40134716</v>
      </c>
      <c r="AK192" s="99"/>
      <c r="AL192" s="99"/>
      <c r="AM192" s="99"/>
      <c r="AN192" s="99"/>
    </row>
    <row r="193" spans="15:44">
      <c r="Q193" s="20" t="s">
        <v>5088</v>
      </c>
      <c r="R193" s="20" t="s">
        <v>5082</v>
      </c>
      <c r="S193" s="247">
        <v>-400000</v>
      </c>
      <c r="T193" s="213" t="s">
        <v>4708</v>
      </c>
      <c r="U193" s="213">
        <v>28066</v>
      </c>
      <c r="V193" s="113">
        <v>237.56970000000001</v>
      </c>
      <c r="W193" s="113">
        <f t="shared" si="43"/>
        <v>6667631.2002000008</v>
      </c>
      <c r="X193" s="99" t="s">
        <v>452</v>
      </c>
      <c r="AI193" t="s">
        <v>4064</v>
      </c>
      <c r="AJ193" s="114">
        <f>SUM(N39:N46)</f>
        <v>802310978.80000007</v>
      </c>
    </row>
    <row r="194" spans="15:44">
      <c r="Q194" s="99"/>
      <c r="R194" s="99"/>
      <c r="S194" s="95"/>
      <c r="T194" s="213" t="s">
        <v>3684</v>
      </c>
      <c r="U194" s="213">
        <v>37457</v>
      </c>
      <c r="V194" s="113">
        <v>239.77</v>
      </c>
      <c r="W194" s="113">
        <f t="shared" si="43"/>
        <v>8981064.8900000006</v>
      </c>
      <c r="X194" s="99" t="s">
        <v>751</v>
      </c>
      <c r="AI194" t="s">
        <v>4136</v>
      </c>
      <c r="AJ194" s="114">
        <f>AJ193-AJ187</f>
        <v>307532321.80000007</v>
      </c>
      <c r="AM194" t="s">
        <v>25</v>
      </c>
    </row>
    <row r="195" spans="15:44">
      <c r="O195" t="s">
        <v>25</v>
      </c>
      <c r="Q195" s="99"/>
      <c r="R195" s="99"/>
      <c r="S195" s="95">
        <f>SUM(S180:S194)</f>
        <v>73780105</v>
      </c>
      <c r="T195" s="213" t="s">
        <v>3684</v>
      </c>
      <c r="U195" s="213">
        <v>37457</v>
      </c>
      <c r="V195" s="113">
        <v>239.77</v>
      </c>
      <c r="W195" s="113">
        <f t="shared" si="43"/>
        <v>8981064.8900000006</v>
      </c>
      <c r="X195" s="99" t="s">
        <v>452</v>
      </c>
      <c r="AI195" t="s">
        <v>943</v>
      </c>
      <c r="AJ195" s="114">
        <f>AN187</f>
        <v>68606224.401347175</v>
      </c>
      <c r="AN195" t="s">
        <v>25</v>
      </c>
    </row>
    <row r="196" spans="15:44">
      <c r="Q196" s="99"/>
      <c r="R196" s="99"/>
      <c r="S196" s="99" t="s">
        <v>6</v>
      </c>
      <c r="T196" s="213" t="s">
        <v>4721</v>
      </c>
      <c r="U196" s="213">
        <v>38412</v>
      </c>
      <c r="V196" s="113">
        <v>239.03</v>
      </c>
      <c r="W196" s="113">
        <f t="shared" si="43"/>
        <v>9181620.3599999994</v>
      </c>
      <c r="X196" s="99" t="s">
        <v>751</v>
      </c>
      <c r="AI196" t="s">
        <v>4065</v>
      </c>
      <c r="AJ196" s="114">
        <f>AJ193-AJ192</f>
        <v>238926097.39865291</v>
      </c>
      <c r="AN196" t="s">
        <v>25</v>
      </c>
    </row>
    <row r="197" spans="15:44">
      <c r="T197" s="213" t="s">
        <v>4721</v>
      </c>
      <c r="U197" s="213">
        <v>38412</v>
      </c>
      <c r="V197" s="113">
        <v>239.03</v>
      </c>
      <c r="W197" s="113">
        <f t="shared" si="43"/>
        <v>9181620.3599999994</v>
      </c>
      <c r="X197" s="99" t="s">
        <v>452</v>
      </c>
      <c r="Y197" t="s">
        <v>25</v>
      </c>
      <c r="AM197" t="s">
        <v>25</v>
      </c>
    </row>
    <row r="198" spans="15:44">
      <c r="Q198" s="96"/>
      <c r="R198" s="96" t="s">
        <v>25</v>
      </c>
      <c r="T198" s="213" t="s">
        <v>4725</v>
      </c>
      <c r="U198" s="213">
        <v>49555</v>
      </c>
      <c r="V198" s="113">
        <v>238.345</v>
      </c>
      <c r="W198" s="113">
        <f t="shared" si="43"/>
        <v>11811186.475</v>
      </c>
      <c r="X198" s="99" t="s">
        <v>751</v>
      </c>
      <c r="AJ198" t="s">
        <v>25</v>
      </c>
    </row>
    <row r="199" spans="15:44">
      <c r="Q199" s="96"/>
      <c r="R199" s="96" t="s">
        <v>25</v>
      </c>
      <c r="T199" s="213" t="s">
        <v>4725</v>
      </c>
      <c r="U199" s="213">
        <v>49555</v>
      </c>
      <c r="V199" s="113">
        <v>238.345</v>
      </c>
      <c r="W199" s="113">
        <f t="shared" si="43"/>
        <v>11811186.475</v>
      </c>
      <c r="X199" s="99" t="s">
        <v>452</v>
      </c>
    </row>
    <row r="200" spans="15:44">
      <c r="T200" s="213" t="s">
        <v>4739</v>
      </c>
      <c r="U200" s="213">
        <v>160187</v>
      </c>
      <c r="V200" s="113">
        <v>257.49799999999999</v>
      </c>
      <c r="W200" s="113">
        <f t="shared" si="43"/>
        <v>41247832.126000002</v>
      </c>
      <c r="X200" s="99" t="s">
        <v>751</v>
      </c>
    </row>
    <row r="201" spans="15:44">
      <c r="Q201" s="99" t="s">
        <v>751</v>
      </c>
      <c r="R201" s="99"/>
      <c r="T201" s="213" t="s">
        <v>4739</v>
      </c>
      <c r="U201" s="213">
        <v>160187</v>
      </c>
      <c r="V201" s="113">
        <v>257.49799999999999</v>
      </c>
      <c r="W201" s="113">
        <f t="shared" si="43"/>
        <v>41247832.126000002</v>
      </c>
      <c r="X201" s="99" t="s">
        <v>452</v>
      </c>
      <c r="AQ201" t="s">
        <v>25</v>
      </c>
    </row>
    <row r="202" spans="15:44">
      <c r="Q202" s="99" t="s">
        <v>4438</v>
      </c>
      <c r="R202" s="95">
        <v>172908000</v>
      </c>
      <c r="T202" s="213" t="s">
        <v>4747</v>
      </c>
      <c r="U202" s="213">
        <v>144401</v>
      </c>
      <c r="V202" s="113">
        <v>258.5061</v>
      </c>
      <c r="W202" s="113">
        <f t="shared" si="43"/>
        <v>37328539.346100003</v>
      </c>
      <c r="X202" s="99" t="s">
        <v>751</v>
      </c>
    </row>
    <row r="203" spans="15: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5: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372</v>
      </c>
      <c r="AM204" s="99">
        <f>AJ204*AL204</f>
        <v>1322765040</v>
      </c>
      <c r="AN204" s="99" t="s">
        <v>4312</v>
      </c>
      <c r="AR204" t="s">
        <v>25</v>
      </c>
    </row>
    <row r="205" spans="15: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4">AK205+AL206</f>
        <v>370</v>
      </c>
      <c r="AM205" s="99">
        <f t="shared" ref="AM205:AM233" si="45">AJ205*AL205</f>
        <v>636709690</v>
      </c>
      <c r="AN205" s="99" t="s">
        <v>4313</v>
      </c>
    </row>
    <row r="206" spans="15: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4"/>
        <v>319</v>
      </c>
      <c r="AM206" s="99">
        <f t="shared" si="45"/>
        <v>47850000</v>
      </c>
      <c r="AN206" s="99"/>
    </row>
    <row r="207" spans="15: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4"/>
        <v>316</v>
      </c>
      <c r="AM207" s="99">
        <f t="shared" si="45"/>
        <v>-30020000</v>
      </c>
      <c r="AN207" s="99"/>
      <c r="AR207" t="s">
        <v>25</v>
      </c>
    </row>
    <row r="208" spans="15: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4"/>
        <v>308</v>
      </c>
      <c r="AM208" s="99">
        <f t="shared" si="45"/>
        <v>970200000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4"/>
        <v>292</v>
      </c>
      <c r="AM209" s="99">
        <f t="shared" si="45"/>
        <v>-18980000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4"/>
        <v>291</v>
      </c>
      <c r="AM210" s="99">
        <f t="shared" si="45"/>
        <v>-27645000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4"/>
        <v>285</v>
      </c>
      <c r="AM211" s="99">
        <f t="shared" si="45"/>
        <v>66120000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4"/>
        <v>278</v>
      </c>
      <c r="AM212" s="99">
        <f t="shared" si="45"/>
        <v>3614000000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4"/>
        <v>276</v>
      </c>
      <c r="AM213" s="99">
        <f t="shared" si="45"/>
        <v>2760000000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4"/>
        <v>273</v>
      </c>
      <c r="AM214" s="99">
        <f t="shared" si="45"/>
        <v>928200000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264</v>
      </c>
      <c r="AM215" s="99">
        <f t="shared" si="45"/>
        <v>-2306439696</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6">AK216+AL217</f>
        <v>263</v>
      </c>
      <c r="AM216" s="99">
        <f t="shared" si="45"/>
        <v>145965000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6"/>
        <v>258</v>
      </c>
      <c r="AM217" s="99">
        <f t="shared" si="45"/>
        <v>-115663464</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6"/>
        <v>252</v>
      </c>
      <c r="AM218" s="99">
        <f t="shared" si="45"/>
        <v>8372700</v>
      </c>
      <c r="AN218" s="99"/>
      <c r="AS218" t="s">
        <v>25</v>
      </c>
    </row>
    <row r="219" spans="17:45">
      <c r="Q219" s="99" t="s">
        <v>4725</v>
      </c>
      <c r="R219" s="95">
        <v>11811208</v>
      </c>
      <c r="S219" t="s">
        <v>25</v>
      </c>
      <c r="T219" s="213" t="s">
        <v>4875</v>
      </c>
      <c r="U219" s="213">
        <v>3407</v>
      </c>
      <c r="V219" s="113">
        <v>293.43799999999999</v>
      </c>
      <c r="W219" s="113">
        <f t="shared" si="43"/>
        <v>999743.26599999995</v>
      </c>
      <c r="X219" s="99" t="s">
        <v>452</v>
      </c>
      <c r="AH219" s="149">
        <v>16</v>
      </c>
      <c r="AI219" s="149" t="s">
        <v>4401</v>
      </c>
      <c r="AJ219" s="188">
        <v>4098523</v>
      </c>
      <c r="AK219" s="149">
        <v>2</v>
      </c>
      <c r="AL219" s="149">
        <f t="shared" si="46"/>
        <v>252</v>
      </c>
      <c r="AM219" s="149">
        <f t="shared" si="45"/>
        <v>1032827796</v>
      </c>
      <c r="AN219" s="149" t="s">
        <v>657</v>
      </c>
    </row>
    <row r="220" spans="17:45">
      <c r="Q220" s="99" t="s">
        <v>4739</v>
      </c>
      <c r="R220" s="95">
        <v>41248054</v>
      </c>
      <c r="S220" t="s">
        <v>25</v>
      </c>
      <c r="T220" s="213" t="s">
        <v>4876</v>
      </c>
      <c r="U220" s="213">
        <v>68796</v>
      </c>
      <c r="V220" s="113">
        <v>293.53250000000003</v>
      </c>
      <c r="W220" s="113">
        <f t="shared" si="43"/>
        <v>20193861.870000001</v>
      </c>
      <c r="X220" s="99" t="s">
        <v>751</v>
      </c>
      <c r="AH220" s="149">
        <v>17</v>
      </c>
      <c r="AI220" s="149" t="s">
        <v>4414</v>
      </c>
      <c r="AJ220" s="188">
        <v>-1000000</v>
      </c>
      <c r="AK220" s="149">
        <v>7</v>
      </c>
      <c r="AL220" s="149">
        <f t="shared" si="46"/>
        <v>250</v>
      </c>
      <c r="AM220" s="149">
        <f t="shared" si="45"/>
        <v>-250000000</v>
      </c>
      <c r="AN220" s="149" t="s">
        <v>657</v>
      </c>
    </row>
    <row r="221" spans="17:45">
      <c r="Q221" s="99" t="s">
        <v>4747</v>
      </c>
      <c r="R221" s="95">
        <v>37328780</v>
      </c>
      <c r="T221" s="213" t="s">
        <v>4876</v>
      </c>
      <c r="U221" s="213">
        <v>154791</v>
      </c>
      <c r="V221" s="113">
        <v>293.53250000000003</v>
      </c>
      <c r="W221" s="113">
        <f t="shared" si="43"/>
        <v>45436189.207500003</v>
      </c>
      <c r="X221" s="99" t="s">
        <v>452</v>
      </c>
      <c r="AH221" s="149">
        <v>18</v>
      </c>
      <c r="AI221" s="149" t="s">
        <v>4434</v>
      </c>
      <c r="AJ221" s="188">
        <v>750000</v>
      </c>
      <c r="AK221" s="149">
        <v>1</v>
      </c>
      <c r="AL221" s="149">
        <f t="shared" si="46"/>
        <v>243</v>
      </c>
      <c r="AM221" s="149">
        <f t="shared" si="45"/>
        <v>182250000</v>
      </c>
      <c r="AN221" s="149" t="s">
        <v>657</v>
      </c>
    </row>
    <row r="222" spans="17:45">
      <c r="Q222" s="99" t="s">
        <v>4837</v>
      </c>
      <c r="R222" s="95">
        <v>-2194100</v>
      </c>
      <c r="T222" s="213" t="s">
        <v>4876</v>
      </c>
      <c r="U222" s="213">
        <v>-11923</v>
      </c>
      <c r="V222" s="113">
        <v>293.53250000000003</v>
      </c>
      <c r="W222" s="113">
        <f t="shared" si="43"/>
        <v>-3499787.9975000005</v>
      </c>
      <c r="X222" s="99" t="s">
        <v>452</v>
      </c>
      <c r="AH222" s="195">
        <v>19</v>
      </c>
      <c r="AI222" s="195" t="s">
        <v>4436</v>
      </c>
      <c r="AJ222" s="196">
        <v>-604152</v>
      </c>
      <c r="AK222" s="195">
        <v>0</v>
      </c>
      <c r="AL222" s="195">
        <f t="shared" si="46"/>
        <v>242</v>
      </c>
      <c r="AM222" s="195">
        <f t="shared" si="45"/>
        <v>-146204784</v>
      </c>
      <c r="AN222" s="195" t="s">
        <v>657</v>
      </c>
    </row>
    <row r="223" spans="17:45">
      <c r="Q223" s="99" t="s">
        <v>4876</v>
      </c>
      <c r="R223" s="95">
        <v>20193916</v>
      </c>
      <c r="T223" s="213" t="s">
        <v>4891</v>
      </c>
      <c r="U223" s="213">
        <v>8424</v>
      </c>
      <c r="V223" s="113">
        <v>299.15170000000001</v>
      </c>
      <c r="W223" s="113">
        <f t="shared" si="43"/>
        <v>2520053.9208</v>
      </c>
      <c r="X223" s="99" t="s">
        <v>452</v>
      </c>
      <c r="AH223" s="99">
        <v>20</v>
      </c>
      <c r="AI223" s="99" t="s">
        <v>4437</v>
      </c>
      <c r="AJ223" s="117">
        <v>-587083</v>
      </c>
      <c r="AK223" s="99">
        <v>4</v>
      </c>
      <c r="AL223" s="99">
        <f t="shared" si="46"/>
        <v>242</v>
      </c>
      <c r="AM223" s="99">
        <f t="shared" si="45"/>
        <v>-142074086</v>
      </c>
      <c r="AN223" s="99"/>
    </row>
    <row r="224" spans="17:45">
      <c r="Q224" s="99" t="s">
        <v>4956</v>
      </c>
      <c r="R224" s="95">
        <v>-2000000</v>
      </c>
      <c r="T224" s="213" t="s">
        <v>4927</v>
      </c>
      <c r="U224" s="213">
        <v>15943</v>
      </c>
      <c r="V224" s="113">
        <v>307.34415000000001</v>
      </c>
      <c r="W224" s="113">
        <f t="shared" si="43"/>
        <v>4899987.78345</v>
      </c>
      <c r="X224" s="99" t="s">
        <v>452</v>
      </c>
      <c r="Z224" t="s">
        <v>25</v>
      </c>
      <c r="AH224" s="195">
        <v>21</v>
      </c>
      <c r="AI224" s="195" t="s">
        <v>4438</v>
      </c>
      <c r="AJ224" s="196">
        <v>-754351</v>
      </c>
      <c r="AK224" s="195">
        <v>0</v>
      </c>
      <c r="AL224" s="149">
        <f t="shared" si="46"/>
        <v>238</v>
      </c>
      <c r="AM224" s="195">
        <f t="shared" si="45"/>
        <v>-179535538</v>
      </c>
      <c r="AN224" s="195" t="s">
        <v>657</v>
      </c>
    </row>
    <row r="225" spans="17:44">
      <c r="Q225" s="99" t="s">
        <v>5040</v>
      </c>
      <c r="R225" s="95">
        <v>6800000</v>
      </c>
      <c r="S225" t="s">
        <v>25</v>
      </c>
      <c r="T225" s="213" t="s">
        <v>4950</v>
      </c>
      <c r="U225" s="213">
        <v>3741</v>
      </c>
      <c r="V225" s="113">
        <v>307.34415000000001</v>
      </c>
      <c r="W225" s="113">
        <f t="shared" si="43"/>
        <v>1149774.4651500001</v>
      </c>
      <c r="X225" s="99" t="s">
        <v>452</v>
      </c>
      <c r="AH225" s="99">
        <v>22</v>
      </c>
      <c r="AI225" s="99" t="s">
        <v>4438</v>
      </c>
      <c r="AJ225" s="117">
        <v>-189619</v>
      </c>
      <c r="AK225" s="99">
        <v>15</v>
      </c>
      <c r="AL225" s="99">
        <f t="shared" si="46"/>
        <v>238</v>
      </c>
      <c r="AM225" s="99">
        <f t="shared" si="45"/>
        <v>-45129322</v>
      </c>
      <c r="AN225" s="99"/>
    </row>
    <row r="226" spans="17:44">
      <c r="Q226" s="99" t="s">
        <v>5056</v>
      </c>
      <c r="R226" s="95">
        <v>850000</v>
      </c>
      <c r="T226" s="213" t="s">
        <v>4956</v>
      </c>
      <c r="U226" s="213">
        <v>-6207</v>
      </c>
      <c r="V226" s="113">
        <v>322.214</v>
      </c>
      <c r="W226" s="113">
        <f t="shared" si="43"/>
        <v>-1999982.298</v>
      </c>
      <c r="X226" s="99" t="s">
        <v>751</v>
      </c>
      <c r="Y226" t="s">
        <v>25</v>
      </c>
      <c r="AH226" s="195">
        <v>23</v>
      </c>
      <c r="AI226" s="195" t="s">
        <v>4510</v>
      </c>
      <c r="AJ226" s="188">
        <v>7100</v>
      </c>
      <c r="AK226" s="195">
        <v>0</v>
      </c>
      <c r="AL226" s="149">
        <f t="shared" si="46"/>
        <v>223</v>
      </c>
      <c r="AM226" s="195">
        <f t="shared" si="45"/>
        <v>1583300</v>
      </c>
      <c r="AN226" s="195" t="s">
        <v>657</v>
      </c>
    </row>
    <row r="227" spans="17:44">
      <c r="Q227" s="99" t="s">
        <v>5066</v>
      </c>
      <c r="R227" s="95">
        <v>2290500</v>
      </c>
      <c r="T227" s="213" t="s">
        <v>4956</v>
      </c>
      <c r="U227" s="213">
        <v>6207</v>
      </c>
      <c r="V227" s="113">
        <v>322.214</v>
      </c>
      <c r="W227" s="113">
        <f t="shared" si="43"/>
        <v>1999982.298</v>
      </c>
      <c r="X227" s="99" t="s">
        <v>4445</v>
      </c>
      <c r="AH227" s="20">
        <v>24</v>
      </c>
      <c r="AI227" s="20" t="s">
        <v>4510</v>
      </c>
      <c r="AJ227" s="117">
        <v>-147902</v>
      </c>
      <c r="AK227" s="20">
        <v>3</v>
      </c>
      <c r="AL227" s="99">
        <f t="shared" si="46"/>
        <v>223</v>
      </c>
      <c r="AM227" s="20">
        <f t="shared" si="45"/>
        <v>-32982146</v>
      </c>
      <c r="AN227" s="20"/>
    </row>
    <row r="228" spans="17:44">
      <c r="Q228" s="99" t="s">
        <v>5082</v>
      </c>
      <c r="R228" s="95">
        <v>400000</v>
      </c>
      <c r="S228" t="s">
        <v>25</v>
      </c>
      <c r="T228" s="213" t="s">
        <v>4899</v>
      </c>
      <c r="U228" s="213">
        <v>776</v>
      </c>
      <c r="V228" s="113">
        <v>322.214</v>
      </c>
      <c r="W228" s="113">
        <f t="shared" si="43"/>
        <v>250038.06400000001</v>
      </c>
      <c r="X228" s="99" t="s">
        <v>452</v>
      </c>
      <c r="Y228" s="96"/>
      <c r="AH228" s="149">
        <v>25</v>
      </c>
      <c r="AI228" s="149" t="s">
        <v>4518</v>
      </c>
      <c r="AJ228" s="188">
        <v>-37200</v>
      </c>
      <c r="AK228" s="149">
        <v>4</v>
      </c>
      <c r="AL228" s="149">
        <f t="shared" si="46"/>
        <v>220</v>
      </c>
      <c r="AM228" s="195">
        <f t="shared" si="45"/>
        <v>-8184000</v>
      </c>
      <c r="AN228" s="149" t="s">
        <v>657</v>
      </c>
    </row>
    <row r="229" spans="17:44">
      <c r="Q229" s="99" t="s">
        <v>5090</v>
      </c>
      <c r="R229" s="95">
        <v>150000</v>
      </c>
      <c r="T229" s="213" t="s">
        <v>4983</v>
      </c>
      <c r="U229" s="213">
        <v>1524</v>
      </c>
      <c r="V229" s="113">
        <v>314.95999999999998</v>
      </c>
      <c r="W229" s="113">
        <f t="shared" si="43"/>
        <v>479999.04</v>
      </c>
      <c r="X229" s="99" t="s">
        <v>1087</v>
      </c>
      <c r="Y229" t="s">
        <v>25</v>
      </c>
      <c r="AH229" s="99">
        <v>26</v>
      </c>
      <c r="AI229" s="99" t="s">
        <v>4549</v>
      </c>
      <c r="AJ229" s="117">
        <v>-372326</v>
      </c>
      <c r="AK229" s="99">
        <v>21</v>
      </c>
      <c r="AL229" s="99">
        <f t="shared" si="46"/>
        <v>216</v>
      </c>
      <c r="AM229" s="20">
        <f t="shared" si="45"/>
        <v>-80422416</v>
      </c>
      <c r="AN229" s="99"/>
    </row>
    <row r="230" spans="17:44">
      <c r="Q230" s="99"/>
      <c r="R230" s="95"/>
      <c r="T230" s="213" t="s">
        <v>4992</v>
      </c>
      <c r="U230" s="213">
        <v>4435</v>
      </c>
      <c r="V230" s="113">
        <v>316.4375</v>
      </c>
      <c r="W230" s="113">
        <f t="shared" si="43"/>
        <v>1403400.3125</v>
      </c>
      <c r="X230" s="99" t="s">
        <v>452</v>
      </c>
      <c r="AH230" s="99">
        <v>27</v>
      </c>
      <c r="AI230" s="99" t="s">
        <v>4601</v>
      </c>
      <c r="AJ230" s="117">
        <v>235062</v>
      </c>
      <c r="AK230" s="99">
        <v>0</v>
      </c>
      <c r="AL230" s="99">
        <f t="shared" si="46"/>
        <v>195</v>
      </c>
      <c r="AM230" s="20">
        <f t="shared" si="45"/>
        <v>45837090</v>
      </c>
      <c r="AN230" s="99"/>
      <c r="AQ230" t="s">
        <v>25</v>
      </c>
    </row>
    <row r="231" spans="17:44">
      <c r="Q231" s="99"/>
      <c r="R231" s="95">
        <f>SUM(R202:R230)</f>
        <v>434726775</v>
      </c>
      <c r="T231" s="213" t="s">
        <v>4997</v>
      </c>
      <c r="U231" s="213">
        <v>624</v>
      </c>
      <c r="V231" s="113">
        <v>320.5</v>
      </c>
      <c r="W231" s="113">
        <f t="shared" si="43"/>
        <v>199992</v>
      </c>
      <c r="X231" s="99" t="s">
        <v>452</v>
      </c>
      <c r="AH231" s="149">
        <v>28</v>
      </c>
      <c r="AI231" s="149" t="s">
        <v>4601</v>
      </c>
      <c r="AJ231" s="188">
        <v>235062</v>
      </c>
      <c r="AK231" s="149">
        <v>9</v>
      </c>
      <c r="AL231" s="99">
        <f t="shared" si="46"/>
        <v>195</v>
      </c>
      <c r="AM231" s="149">
        <f t="shared" si="45"/>
        <v>45837090</v>
      </c>
      <c r="AN231" s="149" t="s">
        <v>657</v>
      </c>
    </row>
    <row r="232" spans="17:44">
      <c r="Q232" s="99"/>
      <c r="R232" s="99" t="s">
        <v>6</v>
      </c>
      <c r="S232" t="s">
        <v>25</v>
      </c>
      <c r="T232" s="213" t="s">
        <v>5004</v>
      </c>
      <c r="U232" s="213">
        <v>1086</v>
      </c>
      <c r="V232" s="113">
        <v>317.55</v>
      </c>
      <c r="W232" s="113">
        <f t="shared" si="43"/>
        <v>344859.3</v>
      </c>
      <c r="X232" s="99" t="s">
        <v>452</v>
      </c>
      <c r="AH232" s="149">
        <v>29</v>
      </c>
      <c r="AI232" s="149" t="s">
        <v>4625</v>
      </c>
      <c r="AJ232" s="188">
        <v>450000</v>
      </c>
      <c r="AK232" s="149">
        <v>0</v>
      </c>
      <c r="AL232" s="99">
        <f t="shared" si="46"/>
        <v>186</v>
      </c>
      <c r="AM232" s="149">
        <f t="shared" si="45"/>
        <v>83700000</v>
      </c>
      <c r="AN232" s="149" t="s">
        <v>657</v>
      </c>
    </row>
    <row r="233" spans="17:44">
      <c r="T233" s="213" t="s">
        <v>5010</v>
      </c>
      <c r="U233" s="213">
        <v>2820</v>
      </c>
      <c r="V233" s="113">
        <v>319.1096</v>
      </c>
      <c r="W233" s="113">
        <f t="shared" si="43"/>
        <v>899889.07200000004</v>
      </c>
      <c r="X233" s="99" t="s">
        <v>452</v>
      </c>
      <c r="Y233" t="s">
        <v>25</v>
      </c>
      <c r="AH233" s="20">
        <v>30</v>
      </c>
      <c r="AI233" s="20" t="s">
        <v>4625</v>
      </c>
      <c r="AJ233" s="117">
        <v>450000</v>
      </c>
      <c r="AK233" s="20">
        <v>22</v>
      </c>
      <c r="AL233" s="99">
        <f>AK233+AL234</f>
        <v>186</v>
      </c>
      <c r="AM233" s="20">
        <f t="shared" si="45"/>
        <v>83700000</v>
      </c>
      <c r="AN233" s="20"/>
    </row>
    <row r="234" spans="17:44">
      <c r="T234" s="213" t="s">
        <v>5014</v>
      </c>
      <c r="U234" s="213">
        <v>1145</v>
      </c>
      <c r="V234" s="113">
        <v>325.44</v>
      </c>
      <c r="W234" s="113">
        <f t="shared" si="43"/>
        <v>372628.8</v>
      </c>
      <c r="X234" s="99" t="s">
        <v>452</v>
      </c>
      <c r="AH234" s="149">
        <v>31</v>
      </c>
      <c r="AI234" s="149" t="s">
        <v>4699</v>
      </c>
      <c r="AJ234" s="188">
        <v>300000</v>
      </c>
      <c r="AK234" s="149">
        <v>0</v>
      </c>
      <c r="AL234" s="149">
        <f t="shared" ref="AL234:AL249" si="47">AK234+AL235</f>
        <v>164</v>
      </c>
      <c r="AM234" s="149">
        <f t="shared" ref="AM234:AM237" si="48">AJ234*AL234</f>
        <v>49200000</v>
      </c>
      <c r="AN234" s="149"/>
    </row>
    <row r="235" spans="17:44" ht="30">
      <c r="Q235" s="99" t="s">
        <v>452</v>
      </c>
      <c r="R235" s="99"/>
      <c r="T235" s="213" t="s">
        <v>5026</v>
      </c>
      <c r="U235" s="213">
        <v>20153</v>
      </c>
      <c r="V235" s="113">
        <v>322</v>
      </c>
      <c r="W235" s="113">
        <f t="shared" si="43"/>
        <v>6489266</v>
      </c>
      <c r="X235" s="99" t="s">
        <v>452</v>
      </c>
      <c r="Z235" t="s">
        <v>25</v>
      </c>
      <c r="AA235" t="s">
        <v>25</v>
      </c>
      <c r="AH235" s="121">
        <v>32</v>
      </c>
      <c r="AI235" s="121" t="s">
        <v>4699</v>
      </c>
      <c r="AJ235" s="79">
        <v>288936</v>
      </c>
      <c r="AK235" s="121">
        <v>3</v>
      </c>
      <c r="AL235" s="121">
        <f t="shared" si="47"/>
        <v>164</v>
      </c>
      <c r="AM235" s="121">
        <f t="shared" si="48"/>
        <v>47385504</v>
      </c>
      <c r="AN235" s="205" t="s">
        <v>4710</v>
      </c>
    </row>
    <row r="236" spans="17:44">
      <c r="Q236" s="99" t="s">
        <v>4438</v>
      </c>
      <c r="R236" s="95">
        <v>63115000</v>
      </c>
      <c r="T236" s="213" t="s">
        <v>5040</v>
      </c>
      <c r="U236" s="213">
        <v>93720</v>
      </c>
      <c r="V236" s="113">
        <v>325.435</v>
      </c>
      <c r="W236" s="113">
        <f t="shared" si="43"/>
        <v>30499768.199999999</v>
      </c>
      <c r="X236" s="99" t="s">
        <v>1087</v>
      </c>
      <c r="AH236" s="121">
        <v>33</v>
      </c>
      <c r="AI236" s="121" t="s">
        <v>4708</v>
      </c>
      <c r="AJ236" s="79">
        <v>17962491</v>
      </c>
      <c r="AK236" s="121">
        <v>1</v>
      </c>
      <c r="AL236" s="121">
        <f t="shared" si="47"/>
        <v>161</v>
      </c>
      <c r="AM236" s="121">
        <f t="shared" si="48"/>
        <v>2891961051</v>
      </c>
      <c r="AN236" s="121" t="s">
        <v>4715</v>
      </c>
    </row>
    <row r="237" spans="17:44">
      <c r="Q237" s="99" t="s">
        <v>4492</v>
      </c>
      <c r="R237" s="95">
        <v>13300000</v>
      </c>
      <c r="T237" s="213" t="s">
        <v>5040</v>
      </c>
      <c r="U237" s="213">
        <v>20895</v>
      </c>
      <c r="V237" s="113">
        <v>325.435</v>
      </c>
      <c r="W237" s="113">
        <f t="shared" si="43"/>
        <v>6799964.3250000002</v>
      </c>
      <c r="X237" s="99" t="s">
        <v>751</v>
      </c>
      <c r="Y237" t="s">
        <v>25</v>
      </c>
      <c r="AH237" s="121">
        <v>34</v>
      </c>
      <c r="AI237" s="121" t="s">
        <v>3684</v>
      </c>
      <c r="AJ237" s="79">
        <v>18363511</v>
      </c>
      <c r="AK237" s="121">
        <v>1</v>
      </c>
      <c r="AL237" s="121">
        <f t="shared" si="47"/>
        <v>160</v>
      </c>
      <c r="AM237" s="121">
        <f t="shared" si="48"/>
        <v>2938161760</v>
      </c>
      <c r="AN237" s="121" t="s">
        <v>4715</v>
      </c>
    </row>
    <row r="238" spans="17:44">
      <c r="Q238" s="99" t="s">
        <v>4500</v>
      </c>
      <c r="R238" s="95">
        <v>2269000</v>
      </c>
      <c r="T238" s="213" t="s">
        <v>5056</v>
      </c>
      <c r="U238" s="213">
        <v>2611</v>
      </c>
      <c r="V238" s="113">
        <v>325.435</v>
      </c>
      <c r="W238" s="113">
        <f t="shared" si="43"/>
        <v>849710.78500000003</v>
      </c>
      <c r="X238" s="99" t="s">
        <v>751</v>
      </c>
      <c r="AH238" s="121">
        <v>35</v>
      </c>
      <c r="AI238" s="121" t="s">
        <v>4721</v>
      </c>
      <c r="AJ238" s="79">
        <v>23622417</v>
      </c>
      <c r="AK238" s="121">
        <v>5</v>
      </c>
      <c r="AL238" s="121">
        <f t="shared" si="47"/>
        <v>159</v>
      </c>
      <c r="AM238" s="121">
        <f t="shared" ref="AM238:AM241" si="49">AJ238*AL238</f>
        <v>3755964303</v>
      </c>
      <c r="AN238" s="121" t="s">
        <v>4724</v>
      </c>
      <c r="AR238" t="s">
        <v>25</v>
      </c>
    </row>
    <row r="239" spans="17:44">
      <c r="Q239" s="99" t="s">
        <v>4615</v>
      </c>
      <c r="R239" s="95">
        <v>25071612</v>
      </c>
      <c r="T239" s="213" t="s">
        <v>5066</v>
      </c>
      <c r="U239" s="213">
        <v>6750</v>
      </c>
      <c r="V239" s="113">
        <v>339.3</v>
      </c>
      <c r="W239" s="113">
        <f t="shared" si="43"/>
        <v>2290275</v>
      </c>
      <c r="X239" s="99" t="s">
        <v>751</v>
      </c>
      <c r="AH239" s="121">
        <v>36</v>
      </c>
      <c r="AI239" s="121" t="s">
        <v>4737</v>
      </c>
      <c r="AJ239" s="79">
        <v>82496108</v>
      </c>
      <c r="AK239" s="121">
        <v>1</v>
      </c>
      <c r="AL239" s="121">
        <f t="shared" si="47"/>
        <v>154</v>
      </c>
      <c r="AM239" s="121">
        <f t="shared" si="49"/>
        <v>12704400632</v>
      </c>
      <c r="AN239" s="121" t="s">
        <v>4740</v>
      </c>
      <c r="AR239" t="s">
        <v>25</v>
      </c>
    </row>
    <row r="240" spans="17:44">
      <c r="Q240" s="99" t="s">
        <v>4624</v>
      </c>
      <c r="R240" s="95">
        <v>42236984</v>
      </c>
      <c r="T240" s="213" t="s">
        <v>5082</v>
      </c>
      <c r="U240" s="213">
        <v>1850</v>
      </c>
      <c r="V240" s="113">
        <v>334.10050000000001</v>
      </c>
      <c r="W240" s="113">
        <f t="shared" si="43"/>
        <v>618085.92500000005</v>
      </c>
      <c r="X240" s="99" t="s">
        <v>452</v>
      </c>
      <c r="AH240" s="121">
        <v>37</v>
      </c>
      <c r="AI240" s="121" t="s">
        <v>4739</v>
      </c>
      <c r="AJ240" s="79">
        <v>74657561</v>
      </c>
      <c r="AK240" s="121">
        <v>16</v>
      </c>
      <c r="AL240" s="121">
        <f t="shared" si="47"/>
        <v>153</v>
      </c>
      <c r="AM240" s="121">
        <f t="shared" si="49"/>
        <v>11422606833</v>
      </c>
      <c r="AN240" s="121" t="s">
        <v>4746</v>
      </c>
    </row>
    <row r="241" spans="17:43">
      <c r="Q241" s="99" t="s">
        <v>4625</v>
      </c>
      <c r="R241" s="95">
        <v>19663646</v>
      </c>
      <c r="T241" s="213" t="s">
        <v>5082</v>
      </c>
      <c r="U241" s="213">
        <v>-1194</v>
      </c>
      <c r="V241" s="113">
        <v>335</v>
      </c>
      <c r="W241" s="113">
        <f t="shared" si="43"/>
        <v>-399990</v>
      </c>
      <c r="X241" s="99" t="s">
        <v>4445</v>
      </c>
      <c r="AH241" s="99">
        <v>38</v>
      </c>
      <c r="AI241" s="99" t="s">
        <v>4818</v>
      </c>
      <c r="AJ241" s="117">
        <v>665000</v>
      </c>
      <c r="AK241" s="99">
        <v>0</v>
      </c>
      <c r="AL241" s="99">
        <f t="shared" si="47"/>
        <v>137</v>
      </c>
      <c r="AM241" s="20">
        <f t="shared" si="49"/>
        <v>91105000</v>
      </c>
      <c r="AN241" s="99"/>
    </row>
    <row r="242" spans="17:43">
      <c r="Q242" s="99" t="s">
        <v>4649</v>
      </c>
      <c r="R242" s="95">
        <v>4374525</v>
      </c>
      <c r="T242" s="213" t="s">
        <v>5082</v>
      </c>
      <c r="U242" s="213">
        <v>1194</v>
      </c>
      <c r="V242" s="113">
        <v>335</v>
      </c>
      <c r="W242" s="113">
        <f t="shared" si="43"/>
        <v>399990</v>
      </c>
      <c r="X242" s="99" t="s">
        <v>751</v>
      </c>
      <c r="AH242" s="149">
        <v>39</v>
      </c>
      <c r="AI242" s="149" t="s">
        <v>4818</v>
      </c>
      <c r="AJ242" s="188">
        <v>665000</v>
      </c>
      <c r="AK242" s="149">
        <v>4</v>
      </c>
      <c r="AL242" s="195">
        <f t="shared" si="47"/>
        <v>137</v>
      </c>
      <c r="AM242" s="195">
        <f t="shared" ref="AM242:AM243" si="50">AJ242*AL242</f>
        <v>91105000</v>
      </c>
      <c r="AN242" s="195"/>
    </row>
    <row r="243" spans="17:43">
      <c r="Q243" s="99" t="s">
        <v>4661</v>
      </c>
      <c r="R243" s="95">
        <v>6550580</v>
      </c>
      <c r="T243" s="213" t="s">
        <v>5090</v>
      </c>
      <c r="U243" s="213">
        <v>433</v>
      </c>
      <c r="V243" s="113">
        <v>345.68</v>
      </c>
      <c r="W243" s="113">
        <f t="shared" si="43"/>
        <v>149679.44</v>
      </c>
      <c r="X243" s="99" t="s">
        <v>751</v>
      </c>
      <c r="AH243" s="20">
        <v>40</v>
      </c>
      <c r="AI243" s="20" t="s">
        <v>4832</v>
      </c>
      <c r="AJ243" s="117">
        <v>2000000</v>
      </c>
      <c r="AK243" s="20">
        <v>1</v>
      </c>
      <c r="AL243" s="99">
        <f t="shared" si="47"/>
        <v>133</v>
      </c>
      <c r="AM243" s="20">
        <f t="shared" si="50"/>
        <v>266000000</v>
      </c>
      <c r="AN243" s="99"/>
    </row>
    <row r="244" spans="17:43">
      <c r="Q244" s="99" t="s">
        <v>4663</v>
      </c>
      <c r="R244" s="95">
        <v>7054895</v>
      </c>
      <c r="T244" s="213" t="s">
        <v>5097</v>
      </c>
      <c r="U244" s="213">
        <v>55459</v>
      </c>
      <c r="V244" s="113">
        <v>362.51978000000003</v>
      </c>
      <c r="W244" s="113">
        <f t="shared" si="43"/>
        <v>20104984.479020003</v>
      </c>
      <c r="X244" s="99" t="s">
        <v>452</v>
      </c>
      <c r="AH244" s="20">
        <v>41</v>
      </c>
      <c r="AI244" s="20" t="s">
        <v>4837</v>
      </c>
      <c r="AJ244" s="117">
        <v>-2060725</v>
      </c>
      <c r="AK244" s="20">
        <v>0</v>
      </c>
      <c r="AL244" s="99">
        <f t="shared" si="47"/>
        <v>132</v>
      </c>
      <c r="AM244" s="20">
        <f t="shared" ref="AM244:AM249" si="51">AJ244*AL244</f>
        <v>-272015700</v>
      </c>
      <c r="AN244" s="99" t="s">
        <v>4838</v>
      </c>
    </row>
    <row r="245" spans="17:43">
      <c r="Q245" s="99" t="s">
        <v>4686</v>
      </c>
      <c r="R245" s="95">
        <v>2145814</v>
      </c>
      <c r="T245" s="213" t="s">
        <v>5103</v>
      </c>
      <c r="U245" s="213">
        <v>-57212</v>
      </c>
      <c r="V245" s="113">
        <v>368.45400000000001</v>
      </c>
      <c r="W245" s="113">
        <f t="shared" si="43"/>
        <v>-21079990.248</v>
      </c>
      <c r="X245" s="99" t="s">
        <v>452</v>
      </c>
      <c r="AH245" s="149">
        <v>42</v>
      </c>
      <c r="AI245" s="149" t="s">
        <v>4837</v>
      </c>
      <c r="AJ245" s="188">
        <v>-433375</v>
      </c>
      <c r="AK245" s="149">
        <v>0</v>
      </c>
      <c r="AL245" s="149">
        <f t="shared" si="47"/>
        <v>132</v>
      </c>
      <c r="AM245" s="149">
        <f t="shared" si="51"/>
        <v>-57205500</v>
      </c>
      <c r="AN245" s="149" t="s">
        <v>4839</v>
      </c>
    </row>
    <row r="246" spans="17:43">
      <c r="Q246" s="99" t="s">
        <v>4697</v>
      </c>
      <c r="R246" s="95">
        <v>4369730</v>
      </c>
      <c r="T246" s="213" t="s">
        <v>5106</v>
      </c>
      <c r="U246" s="213">
        <v>-15881</v>
      </c>
      <c r="V246" s="113">
        <v>374.61599999999999</v>
      </c>
      <c r="W246" s="113">
        <f t="shared" si="43"/>
        <v>-5949276.6959999995</v>
      </c>
      <c r="X246" s="99" t="s">
        <v>452</v>
      </c>
      <c r="AH246" s="20">
        <v>43</v>
      </c>
      <c r="AI246" s="20" t="s">
        <v>4837</v>
      </c>
      <c r="AJ246" s="117">
        <v>28000000</v>
      </c>
      <c r="AK246" s="20">
        <v>1</v>
      </c>
      <c r="AL246" s="99">
        <f t="shared" si="47"/>
        <v>132</v>
      </c>
      <c r="AM246" s="20">
        <f t="shared" si="51"/>
        <v>3696000000</v>
      </c>
      <c r="AN246" s="99" t="s">
        <v>3891</v>
      </c>
    </row>
    <row r="247" spans="17:43">
      <c r="Q247" s="99" t="s">
        <v>4699</v>
      </c>
      <c r="R247" s="95">
        <v>8739459</v>
      </c>
      <c r="T247" s="213" t="s">
        <v>5117</v>
      </c>
      <c r="U247" s="213">
        <v>-41289</v>
      </c>
      <c r="V247" s="113">
        <v>372.27</v>
      </c>
      <c r="W247" s="113">
        <f t="shared" si="43"/>
        <v>-15370656.029999999</v>
      </c>
      <c r="X247" s="99" t="s">
        <v>452</v>
      </c>
      <c r="AH247" s="20">
        <v>44</v>
      </c>
      <c r="AI247" s="20" t="s">
        <v>4846</v>
      </c>
      <c r="AJ247" s="117">
        <v>160000</v>
      </c>
      <c r="AK247" s="20">
        <v>0</v>
      </c>
      <c r="AL247" s="99">
        <f t="shared" si="47"/>
        <v>131</v>
      </c>
      <c r="AM247" s="20">
        <f t="shared" si="51"/>
        <v>20960000</v>
      </c>
      <c r="AN247" s="99"/>
    </row>
    <row r="248" spans="17:43">
      <c r="Q248" s="99" t="s">
        <v>4708</v>
      </c>
      <c r="R248" s="95">
        <v>6667654</v>
      </c>
      <c r="T248" s="213" t="s">
        <v>5127</v>
      </c>
      <c r="U248" s="213">
        <v>13563</v>
      </c>
      <c r="V248" s="113">
        <v>365.69799999999998</v>
      </c>
      <c r="W248" s="113">
        <f t="shared" si="43"/>
        <v>4959961.9739999995</v>
      </c>
      <c r="X248" s="99" t="s">
        <v>452</v>
      </c>
      <c r="AH248" s="149">
        <v>45</v>
      </c>
      <c r="AI248" s="149" t="s">
        <v>4846</v>
      </c>
      <c r="AJ248" s="188">
        <v>70000</v>
      </c>
      <c r="AK248" s="149">
        <v>9</v>
      </c>
      <c r="AL248" s="149">
        <f t="shared" si="47"/>
        <v>131</v>
      </c>
      <c r="AM248" s="149">
        <f t="shared" si="51"/>
        <v>9170000</v>
      </c>
      <c r="AN248" s="149"/>
    </row>
    <row r="249" spans="17:43">
      <c r="Q249" s="99" t="s">
        <v>3684</v>
      </c>
      <c r="R249" s="95">
        <v>8981245</v>
      </c>
      <c r="T249" s="213" t="s">
        <v>5127</v>
      </c>
      <c r="U249" s="213">
        <v>27344</v>
      </c>
      <c r="V249" s="113">
        <v>365.69799999999998</v>
      </c>
      <c r="W249" s="113">
        <f t="shared" si="43"/>
        <v>9999646.1119999997</v>
      </c>
      <c r="X249" s="99" t="s">
        <v>452</v>
      </c>
      <c r="AH249" s="20">
        <v>46</v>
      </c>
      <c r="AI249" s="20" t="s">
        <v>4854</v>
      </c>
      <c r="AJ249" s="117">
        <v>850000</v>
      </c>
      <c r="AK249" s="20">
        <v>0</v>
      </c>
      <c r="AL249" s="99">
        <f t="shared" si="47"/>
        <v>122</v>
      </c>
      <c r="AM249" s="20">
        <f t="shared" si="51"/>
        <v>103700000</v>
      </c>
      <c r="AN249" s="99"/>
      <c r="AP249" t="s">
        <v>25</v>
      </c>
    </row>
    <row r="250" spans="17:43" ht="30">
      <c r="Q250" s="99" t="s">
        <v>4721</v>
      </c>
      <c r="R250" s="95">
        <v>9181756</v>
      </c>
      <c r="T250" s="213" t="s">
        <v>5137</v>
      </c>
      <c r="U250" s="213">
        <v>-103145</v>
      </c>
      <c r="V250" s="113">
        <v>393.334</v>
      </c>
      <c r="W250" s="113">
        <f t="shared" si="43"/>
        <v>-40570435.43</v>
      </c>
      <c r="X250" s="36" t="s">
        <v>5153</v>
      </c>
      <c r="Y250" t="s">
        <v>25</v>
      </c>
      <c r="AH250" s="195">
        <v>47</v>
      </c>
      <c r="AI250" s="195" t="s">
        <v>4854</v>
      </c>
      <c r="AJ250" s="196">
        <v>20000</v>
      </c>
      <c r="AK250" s="195">
        <v>4</v>
      </c>
      <c r="AL250" s="195">
        <f t="shared" ref="AL250:AL258" si="52">AK250+AL251</f>
        <v>122</v>
      </c>
      <c r="AM250" s="195">
        <f t="shared" ref="AM250:AM258" si="53">AJ250*AL250</f>
        <v>2440000</v>
      </c>
      <c r="AN250" s="195"/>
    </row>
    <row r="251" spans="17:43">
      <c r="Q251" s="99" t="s">
        <v>4725</v>
      </c>
      <c r="R251" s="95">
        <v>11811208</v>
      </c>
      <c r="T251" s="213" t="s">
        <v>5157</v>
      </c>
      <c r="U251" s="213">
        <v>2546</v>
      </c>
      <c r="V251" s="113">
        <v>393</v>
      </c>
      <c r="W251" s="113">
        <f t="shared" si="43"/>
        <v>1000578</v>
      </c>
      <c r="X251" s="36" t="s">
        <v>452</v>
      </c>
      <c r="Y251" t="s">
        <v>25</v>
      </c>
      <c r="AH251" s="195">
        <v>48</v>
      </c>
      <c r="AI251" s="195" t="s">
        <v>4867</v>
      </c>
      <c r="AJ251" s="196">
        <v>30000000</v>
      </c>
      <c r="AK251" s="195">
        <v>27</v>
      </c>
      <c r="AL251" s="195">
        <f t="shared" si="52"/>
        <v>118</v>
      </c>
      <c r="AM251" s="195">
        <f t="shared" si="53"/>
        <v>3540000000</v>
      </c>
      <c r="AN251" s="195" t="s">
        <v>4869</v>
      </c>
    </row>
    <row r="252" spans="17:43">
      <c r="Q252" s="99" t="s">
        <v>4739</v>
      </c>
      <c r="R252" s="95">
        <v>41248054</v>
      </c>
      <c r="T252" s="213" t="s">
        <v>5158</v>
      </c>
      <c r="U252" s="213">
        <v>1034</v>
      </c>
      <c r="V252" s="113">
        <v>386.608</v>
      </c>
      <c r="W252" s="113">
        <f t="shared" si="43"/>
        <v>399752.67200000002</v>
      </c>
      <c r="X252" s="36" t="s">
        <v>452</v>
      </c>
      <c r="AH252" s="20">
        <v>49</v>
      </c>
      <c r="AI252" s="20" t="s">
        <v>4950</v>
      </c>
      <c r="AJ252" s="117">
        <v>1100000</v>
      </c>
      <c r="AK252" s="20">
        <v>1</v>
      </c>
      <c r="AL252" s="20">
        <f t="shared" si="52"/>
        <v>91</v>
      </c>
      <c r="AM252" s="20">
        <f t="shared" si="53"/>
        <v>100100000</v>
      </c>
      <c r="AN252" s="20"/>
    </row>
    <row r="253" spans="17:43">
      <c r="Q253" s="99" t="s">
        <v>4747</v>
      </c>
      <c r="R253" s="95">
        <v>37328780</v>
      </c>
      <c r="T253" s="168"/>
      <c r="U253" s="168"/>
      <c r="V253" s="113"/>
      <c r="W253" s="113"/>
      <c r="X253" s="99"/>
      <c r="AH253" s="20">
        <v>50</v>
      </c>
      <c r="AI253" s="20" t="s">
        <v>4952</v>
      </c>
      <c r="AJ253" s="117">
        <v>450000</v>
      </c>
      <c r="AK253" s="20">
        <v>0</v>
      </c>
      <c r="AL253" s="20">
        <f t="shared" si="52"/>
        <v>90</v>
      </c>
      <c r="AM253" s="20">
        <f t="shared" si="53"/>
        <v>40500000</v>
      </c>
      <c r="AN253" s="20"/>
      <c r="AQ253" t="s">
        <v>25</v>
      </c>
    </row>
    <row r="254" spans="17:43">
      <c r="Q254" s="99" t="s">
        <v>4754</v>
      </c>
      <c r="R254" s="95">
        <v>50000000</v>
      </c>
      <c r="T254" s="168"/>
      <c r="U254" s="168">
        <f>SUM(U162:U253)</f>
        <v>3598135</v>
      </c>
      <c r="V254" s="99"/>
      <c r="W254" s="99"/>
      <c r="X254" s="99"/>
      <c r="AH254" s="149">
        <v>51</v>
      </c>
      <c r="AI254" s="149" t="s">
        <v>4952</v>
      </c>
      <c r="AJ254" s="188">
        <v>550000</v>
      </c>
      <c r="AK254" s="149">
        <v>1</v>
      </c>
      <c r="AL254" s="149">
        <f t="shared" si="52"/>
        <v>90</v>
      </c>
      <c r="AM254" s="149">
        <f t="shared" si="53"/>
        <v>49500000</v>
      </c>
      <c r="AN254" s="149"/>
    </row>
    <row r="255" spans="17:43">
      <c r="Q255" s="99" t="s">
        <v>4818</v>
      </c>
      <c r="R255" s="95">
        <v>68656</v>
      </c>
      <c r="T255" s="99"/>
      <c r="U255" s="99" t="s">
        <v>6</v>
      </c>
      <c r="V255" s="99"/>
      <c r="W255" s="99"/>
      <c r="X255" s="99"/>
      <c r="AH255" s="149">
        <v>52</v>
      </c>
      <c r="AI255" s="149" t="s">
        <v>4954</v>
      </c>
      <c r="AJ255" s="188">
        <v>1000000</v>
      </c>
      <c r="AK255" s="149">
        <v>8</v>
      </c>
      <c r="AL255" s="149">
        <f t="shared" si="52"/>
        <v>89</v>
      </c>
      <c r="AM255" s="149">
        <f t="shared" si="53"/>
        <v>89000000</v>
      </c>
      <c r="AN255" s="149"/>
    </row>
    <row r="256" spans="17:43">
      <c r="Q256" s="99" t="s">
        <v>4832</v>
      </c>
      <c r="R256" s="95">
        <v>4000236</v>
      </c>
      <c r="T256" s="200" t="s">
        <v>4482</v>
      </c>
      <c r="AH256" s="20">
        <v>53</v>
      </c>
      <c r="AI256" s="20" t="s">
        <v>4964</v>
      </c>
      <c r="AJ256" s="117">
        <v>-2668880</v>
      </c>
      <c r="AK256" s="20">
        <v>0</v>
      </c>
      <c r="AL256" s="20">
        <f t="shared" si="52"/>
        <v>81</v>
      </c>
      <c r="AM256" s="20">
        <f t="shared" si="53"/>
        <v>-216179280</v>
      </c>
      <c r="AN256" s="20" t="s">
        <v>4966</v>
      </c>
    </row>
    <row r="257" spans="17:45">
      <c r="Q257" s="99" t="s">
        <v>4832</v>
      </c>
      <c r="R257" s="95">
        <v>2250000</v>
      </c>
      <c r="T257" s="199">
        <f>R175/U254</f>
        <v>387.29402735028009</v>
      </c>
      <c r="AH257" s="149">
        <v>54</v>
      </c>
      <c r="AI257" s="149" t="s">
        <v>4964</v>
      </c>
      <c r="AJ257" s="188">
        <v>-1528620</v>
      </c>
      <c r="AK257" s="149">
        <v>0</v>
      </c>
      <c r="AL257" s="149">
        <f t="shared" si="52"/>
        <v>81</v>
      </c>
      <c r="AM257" s="149">
        <f t="shared" si="53"/>
        <v>-123818220</v>
      </c>
      <c r="AN257" s="149" t="s">
        <v>4966</v>
      </c>
    </row>
    <row r="258" spans="17:45">
      <c r="Q258" s="99" t="s">
        <v>4837</v>
      </c>
      <c r="R258" s="95">
        <v>-2512200</v>
      </c>
      <c r="W258" s="114"/>
      <c r="AH258" s="20">
        <v>55</v>
      </c>
      <c r="AI258" s="20" t="s">
        <v>4964</v>
      </c>
      <c r="AJ258" s="117">
        <v>50000000</v>
      </c>
      <c r="AK258" s="20">
        <v>4</v>
      </c>
      <c r="AL258" s="20">
        <f t="shared" si="52"/>
        <v>81</v>
      </c>
      <c r="AM258" s="20">
        <f t="shared" si="53"/>
        <v>4050000000</v>
      </c>
      <c r="AN258" s="20"/>
    </row>
    <row r="259" spans="17:45">
      <c r="Q259" s="99" t="s">
        <v>4846</v>
      </c>
      <c r="R259" s="95">
        <v>300000</v>
      </c>
      <c r="U259" s="96" t="s">
        <v>267</v>
      </c>
      <c r="V259" t="s">
        <v>4483</v>
      </c>
      <c r="X259" t="s">
        <v>25</v>
      </c>
      <c r="AH259" s="20">
        <v>56</v>
      </c>
      <c r="AI259" s="20" t="s">
        <v>4970</v>
      </c>
      <c r="AJ259" s="117">
        <v>400000</v>
      </c>
      <c r="AK259" s="20">
        <v>4</v>
      </c>
      <c r="AL259" s="20">
        <f t="shared" ref="AL259:AL268" si="54">AK259+AL260</f>
        <v>77</v>
      </c>
      <c r="AM259" s="20">
        <f t="shared" ref="AM259:AM268" si="55">AJ259*AL259</f>
        <v>30800000</v>
      </c>
      <c r="AN259" s="20"/>
    </row>
    <row r="260" spans="17:45">
      <c r="Q260" s="99" t="s">
        <v>981</v>
      </c>
      <c r="R260" s="95">
        <v>1100000</v>
      </c>
      <c r="T260" s="114"/>
      <c r="U260" s="113">
        <v>400000</v>
      </c>
      <c r="V260">
        <f>U260/T257</f>
        <v>1032.8070451709502</v>
      </c>
      <c r="X260" t="s">
        <v>25</v>
      </c>
      <c r="AH260" s="20">
        <v>57</v>
      </c>
      <c r="AI260" s="20" t="s">
        <v>4983</v>
      </c>
      <c r="AJ260" s="117">
        <v>2000000</v>
      </c>
      <c r="AK260" s="20">
        <v>3</v>
      </c>
      <c r="AL260" s="20">
        <f t="shared" si="54"/>
        <v>73</v>
      </c>
      <c r="AM260" s="20">
        <f t="shared" si="55"/>
        <v>146000000</v>
      </c>
      <c r="AN260" s="20"/>
    </row>
    <row r="261" spans="17:45">
      <c r="Q261" s="99" t="s">
        <v>4854</v>
      </c>
      <c r="R261" s="95">
        <v>890000</v>
      </c>
      <c r="X261" t="s">
        <v>25</v>
      </c>
      <c r="AH261" s="20">
        <v>58</v>
      </c>
      <c r="AI261" s="20" t="s">
        <v>4986</v>
      </c>
      <c r="AJ261" s="117">
        <v>100000</v>
      </c>
      <c r="AK261" s="20">
        <v>4</v>
      </c>
      <c r="AL261" s="20">
        <f t="shared" si="54"/>
        <v>70</v>
      </c>
      <c r="AM261" s="20">
        <f t="shared" si="55"/>
        <v>7000000</v>
      </c>
      <c r="AN261" s="20" t="s">
        <v>3891</v>
      </c>
    </row>
    <row r="262" spans="17:45">
      <c r="Q262" s="99" t="s">
        <v>4875</v>
      </c>
      <c r="R262" s="95">
        <v>1000000</v>
      </c>
      <c r="W262" s="223"/>
      <c r="X262" s="96" t="s">
        <v>25</v>
      </c>
      <c r="AH262" s="20">
        <v>59</v>
      </c>
      <c r="AI262" s="20" t="s">
        <v>4997</v>
      </c>
      <c r="AJ262" s="117">
        <v>100000</v>
      </c>
      <c r="AK262" s="20">
        <v>7</v>
      </c>
      <c r="AL262" s="20">
        <f t="shared" si="54"/>
        <v>66</v>
      </c>
      <c r="AM262" s="20">
        <f t="shared" si="55"/>
        <v>6600000</v>
      </c>
      <c r="AN262" s="20"/>
    </row>
    <row r="263" spans="17:45">
      <c r="Q263" s="99" t="s">
        <v>4876</v>
      </c>
      <c r="R263" s="95">
        <v>45436311</v>
      </c>
      <c r="X263" t="s">
        <v>25</v>
      </c>
      <c r="AH263" s="20">
        <v>60</v>
      </c>
      <c r="AI263" s="20" t="s">
        <v>5014</v>
      </c>
      <c r="AJ263" s="117">
        <v>50000</v>
      </c>
      <c r="AK263" s="20">
        <v>0</v>
      </c>
      <c r="AL263" s="20">
        <f t="shared" si="54"/>
        <v>59</v>
      </c>
      <c r="AM263" s="20">
        <f t="shared" si="55"/>
        <v>2950000</v>
      </c>
      <c r="AN263" s="20"/>
    </row>
    <row r="264" spans="17:45">
      <c r="Q264" s="99" t="s">
        <v>4876</v>
      </c>
      <c r="R264" s="95">
        <v>-3500000</v>
      </c>
      <c r="X264" t="s">
        <v>25</v>
      </c>
      <c r="AH264" s="149">
        <v>61</v>
      </c>
      <c r="AI264" s="149" t="s">
        <v>5014</v>
      </c>
      <c r="AJ264" s="188">
        <v>50000</v>
      </c>
      <c r="AK264" s="149">
        <v>3</v>
      </c>
      <c r="AL264" s="149">
        <f t="shared" si="54"/>
        <v>59</v>
      </c>
      <c r="AM264" s="149">
        <f t="shared" si="55"/>
        <v>2950000</v>
      </c>
      <c r="AN264" s="149"/>
    </row>
    <row r="265" spans="17:45" ht="60">
      <c r="Q265" s="99" t="s">
        <v>4891</v>
      </c>
      <c r="R265" s="95">
        <v>2520000</v>
      </c>
      <c r="T265" s="22" t="s">
        <v>4466</v>
      </c>
      <c r="V265" s="223"/>
      <c r="X265" t="s">
        <v>25</v>
      </c>
      <c r="AH265" s="20">
        <v>62</v>
      </c>
      <c r="AI265" s="20" t="s">
        <v>5019</v>
      </c>
      <c r="AJ265" s="117">
        <v>50000</v>
      </c>
      <c r="AK265" s="20">
        <v>0</v>
      </c>
      <c r="AL265" s="20">
        <f t="shared" si="54"/>
        <v>56</v>
      </c>
      <c r="AM265" s="20">
        <f t="shared" si="55"/>
        <v>2800000</v>
      </c>
      <c r="AN265" s="20"/>
    </row>
    <row r="266" spans="17:45" ht="45">
      <c r="Q266" s="99" t="s">
        <v>4927</v>
      </c>
      <c r="R266" s="95">
        <v>4900000</v>
      </c>
      <c r="T266" s="22" t="s">
        <v>4467</v>
      </c>
      <c r="AH266" s="195">
        <v>63</v>
      </c>
      <c r="AI266" s="195" t="s">
        <v>5019</v>
      </c>
      <c r="AJ266" s="196">
        <v>50000</v>
      </c>
      <c r="AK266" s="195">
        <v>2</v>
      </c>
      <c r="AL266" s="195">
        <f t="shared" si="54"/>
        <v>56</v>
      </c>
      <c r="AM266" s="195">
        <f t="shared" si="55"/>
        <v>2800000</v>
      </c>
      <c r="AN266" s="195"/>
    </row>
    <row r="267" spans="17:45">
      <c r="Q267" s="99" t="s">
        <v>4950</v>
      </c>
      <c r="R267" s="95">
        <v>1150000</v>
      </c>
      <c r="Y267" t="s">
        <v>25</v>
      </c>
      <c r="AH267" s="20">
        <v>64</v>
      </c>
      <c r="AI267" s="20" t="s">
        <v>5029</v>
      </c>
      <c r="AJ267" s="117">
        <v>25000</v>
      </c>
      <c r="AK267" s="20">
        <v>0</v>
      </c>
      <c r="AL267" s="20">
        <f t="shared" si="54"/>
        <v>54</v>
      </c>
      <c r="AM267" s="20">
        <f t="shared" si="55"/>
        <v>1350000</v>
      </c>
      <c r="AN267" s="20"/>
      <c r="AS267" t="s">
        <v>25</v>
      </c>
    </row>
    <row r="268" spans="17:45">
      <c r="Q268" s="99" t="s">
        <v>4899</v>
      </c>
      <c r="R268" s="95">
        <v>250000</v>
      </c>
      <c r="AH268" s="149">
        <v>65</v>
      </c>
      <c r="AI268" s="149" t="s">
        <v>5029</v>
      </c>
      <c r="AJ268" s="188">
        <v>35000</v>
      </c>
      <c r="AK268" s="149">
        <v>7</v>
      </c>
      <c r="AL268" s="149">
        <f t="shared" si="54"/>
        <v>54</v>
      </c>
      <c r="AM268" s="149">
        <f t="shared" si="55"/>
        <v>1890000</v>
      </c>
      <c r="AN268" s="149"/>
    </row>
    <row r="269" spans="17:45">
      <c r="Q269" s="99" t="s">
        <v>4992</v>
      </c>
      <c r="R269" s="95">
        <v>1403460</v>
      </c>
      <c r="T269" s="99" t="s">
        <v>4484</v>
      </c>
      <c r="U269" s="99" t="s">
        <v>4455</v>
      </c>
      <c r="V269" s="99" t="s">
        <v>953</v>
      </c>
      <c r="AH269" s="149">
        <v>66</v>
      </c>
      <c r="AI269" s="149" t="s">
        <v>5040</v>
      </c>
      <c r="AJ269" s="188">
        <v>30000000</v>
      </c>
      <c r="AK269" s="149">
        <v>0</v>
      </c>
      <c r="AL269" s="149">
        <f t="shared" ref="AL269:AL292" si="56">AK269+AL270</f>
        <v>47</v>
      </c>
      <c r="AM269" s="149">
        <f t="shared" ref="AM269:AM292" si="57">AJ269*AL269</f>
        <v>1410000000</v>
      </c>
      <c r="AN269" s="149"/>
    </row>
    <row r="270" spans="17:45">
      <c r="Q270" s="99" t="s">
        <v>4997</v>
      </c>
      <c r="R270" s="95">
        <v>200000</v>
      </c>
      <c r="T270" s="95">
        <f>S195+R231+R286</f>
        <v>894293036</v>
      </c>
      <c r="U270" s="95">
        <f>R175</f>
        <v>1393536195.1000001</v>
      </c>
      <c r="V270" s="95">
        <f>U270-T270</f>
        <v>499243159.10000014</v>
      </c>
      <c r="AH270" s="20">
        <v>67</v>
      </c>
      <c r="AI270" s="20" t="s">
        <v>5040</v>
      </c>
      <c r="AJ270" s="117">
        <v>6800000</v>
      </c>
      <c r="AK270" s="20">
        <v>1</v>
      </c>
      <c r="AL270" s="20">
        <f t="shared" si="56"/>
        <v>47</v>
      </c>
      <c r="AM270" s="20">
        <f t="shared" si="57"/>
        <v>319600000</v>
      </c>
      <c r="AN270" s="20"/>
    </row>
    <row r="271" spans="17:45">
      <c r="Q271" s="99" t="s">
        <v>5004</v>
      </c>
      <c r="R271" s="95">
        <v>345000</v>
      </c>
      <c r="AH271" s="20">
        <v>68</v>
      </c>
      <c r="AI271" s="20" t="s">
        <v>5048</v>
      </c>
      <c r="AJ271" s="117">
        <v>500000</v>
      </c>
      <c r="AK271" s="20">
        <v>1</v>
      </c>
      <c r="AL271" s="20">
        <f t="shared" si="56"/>
        <v>46</v>
      </c>
      <c r="AM271" s="20">
        <f t="shared" si="57"/>
        <v>23000000</v>
      </c>
      <c r="AN271" s="20"/>
      <c r="AR271" t="s">
        <v>25</v>
      </c>
    </row>
    <row r="272" spans="17:45">
      <c r="Q272" s="99" t="s">
        <v>5010</v>
      </c>
      <c r="R272" s="95">
        <v>900000</v>
      </c>
      <c r="AH272" s="20">
        <v>69</v>
      </c>
      <c r="AI272" s="20" t="s">
        <v>5056</v>
      </c>
      <c r="AJ272" s="117">
        <v>850000</v>
      </c>
      <c r="AK272" s="20">
        <v>5</v>
      </c>
      <c r="AL272" s="20">
        <f t="shared" si="56"/>
        <v>45</v>
      </c>
      <c r="AM272" s="20">
        <f t="shared" si="57"/>
        <v>38250000</v>
      </c>
      <c r="AN272" s="20"/>
    </row>
    <row r="273" spans="17:40">
      <c r="Q273" s="99" t="s">
        <v>5014</v>
      </c>
      <c r="R273" s="95">
        <v>372517</v>
      </c>
      <c r="AH273" s="20">
        <v>70</v>
      </c>
      <c r="AI273" s="20" t="s">
        <v>5066</v>
      </c>
      <c r="AJ273" s="117">
        <v>1130250</v>
      </c>
      <c r="AK273" s="20">
        <v>0</v>
      </c>
      <c r="AL273" s="20">
        <f t="shared" si="56"/>
        <v>40</v>
      </c>
      <c r="AM273" s="20">
        <f t="shared" si="57"/>
        <v>45210000</v>
      </c>
      <c r="AN273" s="20"/>
    </row>
    <row r="274" spans="17:40">
      <c r="Q274" s="99" t="s">
        <v>5026</v>
      </c>
      <c r="R274" s="95">
        <v>6489257</v>
      </c>
      <c r="AH274" s="261">
        <v>71</v>
      </c>
      <c r="AI274" s="261" t="s">
        <v>5066</v>
      </c>
      <c r="AJ274" s="252">
        <v>30000</v>
      </c>
      <c r="AK274" s="261">
        <v>5</v>
      </c>
      <c r="AL274" s="261">
        <f t="shared" si="56"/>
        <v>40</v>
      </c>
      <c r="AM274" s="261">
        <f t="shared" si="57"/>
        <v>1200000</v>
      </c>
      <c r="AN274" s="261"/>
    </row>
    <row r="275" spans="17:40">
      <c r="Q275" s="99" t="s">
        <v>5082</v>
      </c>
      <c r="R275" s="95">
        <v>618000</v>
      </c>
      <c r="T275" t="s">
        <v>25</v>
      </c>
      <c r="AH275" s="20">
        <v>72</v>
      </c>
      <c r="AI275" s="20" t="s">
        <v>5082</v>
      </c>
      <c r="AJ275" s="117">
        <v>206000</v>
      </c>
      <c r="AK275" s="20">
        <v>0</v>
      </c>
      <c r="AL275" s="20">
        <f t="shared" si="56"/>
        <v>35</v>
      </c>
      <c r="AM275" s="20">
        <f t="shared" si="57"/>
        <v>7210000</v>
      </c>
      <c r="AN275" s="20"/>
    </row>
    <row r="276" spans="17:40">
      <c r="Q276" s="99" t="s">
        <v>5097</v>
      </c>
      <c r="R276" s="95">
        <v>20105000</v>
      </c>
      <c r="T276" t="s">
        <v>25</v>
      </c>
      <c r="AH276" s="149">
        <v>73</v>
      </c>
      <c r="AI276" s="149" t="s">
        <v>5082</v>
      </c>
      <c r="AJ276" s="188">
        <v>206000</v>
      </c>
      <c r="AK276" s="149">
        <v>2</v>
      </c>
      <c r="AL276" s="149">
        <f t="shared" si="56"/>
        <v>35</v>
      </c>
      <c r="AM276" s="149">
        <f t="shared" si="57"/>
        <v>7210000</v>
      </c>
      <c r="AN276" s="149"/>
    </row>
    <row r="277" spans="17:40">
      <c r="Q277" s="99" t="s">
        <v>5103</v>
      </c>
      <c r="R277" s="95">
        <v>-21079990</v>
      </c>
      <c r="S277" s="114"/>
      <c r="AH277" s="20">
        <v>74</v>
      </c>
      <c r="AI277" s="20" t="s">
        <v>5090</v>
      </c>
      <c r="AJ277" s="117">
        <v>50000</v>
      </c>
      <c r="AK277" s="20">
        <v>0</v>
      </c>
      <c r="AL277" s="20">
        <f t="shared" si="56"/>
        <v>33</v>
      </c>
      <c r="AM277" s="20">
        <f t="shared" si="57"/>
        <v>1650000</v>
      </c>
      <c r="AN277" s="20"/>
    </row>
    <row r="278" spans="17:40">
      <c r="Q278" s="99" t="s">
        <v>5106</v>
      </c>
      <c r="R278" s="95">
        <v>-5949277</v>
      </c>
      <c r="T278" t="s">
        <v>25</v>
      </c>
      <c r="AH278" s="261">
        <v>75</v>
      </c>
      <c r="AI278" s="261" t="s">
        <v>5090</v>
      </c>
      <c r="AJ278" s="252">
        <v>50000</v>
      </c>
      <c r="AK278" s="261">
        <v>2</v>
      </c>
      <c r="AL278" s="261">
        <f t="shared" si="56"/>
        <v>33</v>
      </c>
      <c r="AM278" s="261">
        <f t="shared" si="57"/>
        <v>1650000</v>
      </c>
      <c r="AN278" s="261"/>
    </row>
    <row r="279" spans="17:40">
      <c r="Q279" s="99" t="s">
        <v>5117</v>
      </c>
      <c r="R279" s="95">
        <v>-15370656</v>
      </c>
      <c r="T279" t="s">
        <v>25</v>
      </c>
      <c r="AH279" s="20">
        <v>76</v>
      </c>
      <c r="AI279" s="20" t="s">
        <v>5097</v>
      </c>
      <c r="AJ279" s="117">
        <v>20000000</v>
      </c>
      <c r="AK279" s="20">
        <v>7</v>
      </c>
      <c r="AL279" s="20">
        <f t="shared" si="56"/>
        <v>31</v>
      </c>
      <c r="AM279" s="20">
        <f t="shared" si="57"/>
        <v>620000000</v>
      </c>
      <c r="AN279" s="20" t="s">
        <v>5098</v>
      </c>
    </row>
    <row r="280" spans="17:40">
      <c r="Q280" s="99" t="s">
        <v>5127</v>
      </c>
      <c r="R280" s="95">
        <v>4960000</v>
      </c>
      <c r="AH280" s="20">
        <v>77</v>
      </c>
      <c r="AI280" s="20" t="s">
        <v>5117</v>
      </c>
      <c r="AJ280" s="117">
        <v>50000</v>
      </c>
      <c r="AK280" s="20">
        <v>0</v>
      </c>
      <c r="AL280" s="20">
        <f t="shared" si="56"/>
        <v>24</v>
      </c>
      <c r="AM280" s="20">
        <f t="shared" si="57"/>
        <v>1200000</v>
      </c>
      <c r="AN280" s="20"/>
    </row>
    <row r="281" spans="17:40">
      <c r="Q281" s="99" t="s">
        <v>5127</v>
      </c>
      <c r="R281" s="95">
        <v>10000000</v>
      </c>
      <c r="AH281" s="149">
        <v>78</v>
      </c>
      <c r="AI281" s="149" t="s">
        <v>5117</v>
      </c>
      <c r="AJ281" s="188">
        <v>50000</v>
      </c>
      <c r="AK281" s="149">
        <v>7</v>
      </c>
      <c r="AL281" s="149">
        <f t="shared" si="56"/>
        <v>24</v>
      </c>
      <c r="AM281" s="149">
        <f t="shared" si="57"/>
        <v>1200000</v>
      </c>
      <c r="AN281" s="149"/>
    </row>
    <row r="282" spans="17:40">
      <c r="Q282" s="99" t="s">
        <v>5137</v>
      </c>
      <c r="R282" s="95">
        <v>-40570100</v>
      </c>
      <c r="T282" t="s">
        <v>25</v>
      </c>
      <c r="AH282" s="20">
        <v>79</v>
      </c>
      <c r="AI282" s="20" t="s">
        <v>5127</v>
      </c>
      <c r="AJ282" s="117">
        <v>2480000</v>
      </c>
      <c r="AK282" s="20">
        <v>0</v>
      </c>
      <c r="AL282" s="20">
        <f t="shared" si="56"/>
        <v>17</v>
      </c>
      <c r="AM282" s="20">
        <f t="shared" si="57"/>
        <v>42160000</v>
      </c>
      <c r="AN282" s="20"/>
    </row>
    <row r="283" spans="17:40">
      <c r="Q283" s="99" t="s">
        <v>5157</v>
      </c>
      <c r="R283" s="95">
        <v>1000000</v>
      </c>
      <c r="T283" t="s">
        <v>25</v>
      </c>
      <c r="AH283" s="149">
        <v>80</v>
      </c>
      <c r="AI283" s="149" t="s">
        <v>5127</v>
      </c>
      <c r="AJ283" s="188">
        <v>2480000</v>
      </c>
      <c r="AK283" s="149">
        <v>12</v>
      </c>
      <c r="AL283" s="149">
        <f t="shared" si="56"/>
        <v>17</v>
      </c>
      <c r="AM283" s="149">
        <f t="shared" si="57"/>
        <v>42160000</v>
      </c>
      <c r="AN283" s="149"/>
    </row>
    <row r="284" spans="17:40">
      <c r="Q284" s="99" t="s">
        <v>5158</v>
      </c>
      <c r="R284" s="95">
        <v>400000</v>
      </c>
      <c r="W284" s="96" t="s">
        <v>25</v>
      </c>
      <c r="AH284" s="20">
        <v>81</v>
      </c>
      <c r="AI284" s="20" t="s">
        <v>5137</v>
      </c>
      <c r="AJ284" s="117">
        <v>-24159500</v>
      </c>
      <c r="AK284" s="20">
        <v>4</v>
      </c>
      <c r="AL284" s="20">
        <f t="shared" si="56"/>
        <v>5</v>
      </c>
      <c r="AM284" s="20">
        <f t="shared" si="57"/>
        <v>-120797500</v>
      </c>
      <c r="AN284" s="20" t="s">
        <v>5156</v>
      </c>
    </row>
    <row r="285" spans="17:40">
      <c r="Q285" s="99"/>
      <c r="R285" s="95"/>
      <c r="T285" t="s">
        <v>25</v>
      </c>
      <c r="AH285" s="20">
        <v>82</v>
      </c>
      <c r="AI285" s="20" t="s">
        <v>5158</v>
      </c>
      <c r="AJ285" s="117">
        <v>400000</v>
      </c>
      <c r="AK285" s="20">
        <v>1</v>
      </c>
      <c r="AL285" s="20">
        <f t="shared" si="56"/>
        <v>1</v>
      </c>
      <c r="AM285" s="20">
        <f t="shared" si="57"/>
        <v>400000</v>
      </c>
      <c r="AN285" s="20"/>
    </row>
    <row r="286" spans="17:40">
      <c r="Q286" s="99"/>
      <c r="R286" s="95">
        <f>SUM(R236:R285)</f>
        <v>385786156</v>
      </c>
      <c r="T286" t="s">
        <v>25</v>
      </c>
      <c r="AH286" s="20"/>
      <c r="AI286" s="20"/>
      <c r="AJ286" s="117"/>
      <c r="AK286" s="20"/>
      <c r="AL286" s="20">
        <f t="shared" si="56"/>
        <v>0</v>
      </c>
      <c r="AM286" s="20">
        <f t="shared" si="57"/>
        <v>0</v>
      </c>
      <c r="AN286" s="20"/>
    </row>
    <row r="287" spans="17:40">
      <c r="Q287" s="99"/>
      <c r="R287" s="99" t="s">
        <v>6</v>
      </c>
      <c r="AH287" s="20"/>
      <c r="AI287" s="20"/>
      <c r="AJ287" s="117"/>
      <c r="AK287" s="20"/>
      <c r="AL287" s="20">
        <f t="shared" si="56"/>
        <v>0</v>
      </c>
      <c r="AM287" s="20">
        <f t="shared" si="57"/>
        <v>0</v>
      </c>
      <c r="AN287" s="20"/>
    </row>
    <row r="288" spans="17:40">
      <c r="T288" t="s">
        <v>25</v>
      </c>
      <c r="AH288" s="20"/>
      <c r="AI288" s="20"/>
      <c r="AJ288" s="117"/>
      <c r="AK288" s="20"/>
      <c r="AL288" s="20">
        <f t="shared" si="56"/>
        <v>0</v>
      </c>
      <c r="AM288" s="20">
        <f t="shared" si="57"/>
        <v>0</v>
      </c>
      <c r="AN288" s="20"/>
    </row>
    <row r="289" spans="16:40">
      <c r="T289" t="s">
        <v>25</v>
      </c>
      <c r="AH289" s="20"/>
      <c r="AI289" s="20"/>
      <c r="AJ289" s="117"/>
      <c r="AK289" s="20"/>
      <c r="AL289" s="20">
        <f t="shared" si="56"/>
        <v>0</v>
      </c>
      <c r="AM289" s="20">
        <f t="shared" si="57"/>
        <v>0</v>
      </c>
      <c r="AN289" s="20"/>
    </row>
    <row r="290" spans="16:40">
      <c r="T290" t="s">
        <v>25</v>
      </c>
      <c r="AH290" s="20"/>
      <c r="AI290" s="20"/>
      <c r="AJ290" s="117"/>
      <c r="AK290" s="20"/>
      <c r="AL290" s="20">
        <f t="shared" si="56"/>
        <v>0</v>
      </c>
      <c r="AM290" s="20">
        <f t="shared" si="57"/>
        <v>0</v>
      </c>
      <c r="AN290" s="20"/>
    </row>
    <row r="291" spans="16:40">
      <c r="T291" t="s">
        <v>25</v>
      </c>
      <c r="AH291" s="99"/>
      <c r="AI291" s="99"/>
      <c r="AJ291" s="117"/>
      <c r="AK291" s="99"/>
      <c r="AL291" s="20">
        <f t="shared" si="56"/>
        <v>0</v>
      </c>
      <c r="AM291" s="20">
        <f t="shared" si="57"/>
        <v>0</v>
      </c>
      <c r="AN291" s="20"/>
    </row>
    <row r="292" spans="16:40">
      <c r="AH292" s="99"/>
      <c r="AI292" s="99"/>
      <c r="AJ292" s="117"/>
      <c r="AK292" s="99"/>
      <c r="AL292" s="99">
        <f t="shared" si="56"/>
        <v>0</v>
      </c>
      <c r="AM292" s="99">
        <f t="shared" si="57"/>
        <v>0</v>
      </c>
      <c r="AN292" s="99"/>
    </row>
    <row r="293" spans="16:40">
      <c r="P293" t="s">
        <v>25</v>
      </c>
      <c r="AH293" s="99"/>
      <c r="AI293" s="99"/>
      <c r="AJ293" s="95">
        <f>SUM(AJ204:AJ292)</f>
        <v>399402348</v>
      </c>
      <c r="AK293" s="99"/>
      <c r="AL293" s="99"/>
      <c r="AM293" s="99">
        <f>SUM(AM204:AM292)</f>
        <v>56529121137</v>
      </c>
      <c r="AN293" s="95">
        <f>AM293*AN190/31</f>
        <v>30392608.451302551</v>
      </c>
    </row>
    <row r="294" spans="16:40">
      <c r="AJ294" t="s">
        <v>4059</v>
      </c>
      <c r="AM294" t="s">
        <v>284</v>
      </c>
      <c r="AN294" t="s">
        <v>943</v>
      </c>
    </row>
    <row r="295" spans="16:40">
      <c r="R295" t="s">
        <v>25</v>
      </c>
    </row>
    <row r="296" spans="16:40">
      <c r="AI296" t="s">
        <v>4061</v>
      </c>
      <c r="AJ296" s="114">
        <f>AJ293+AN293</f>
        <v>429794956.45130253</v>
      </c>
    </row>
    <row r="297" spans="16:40">
      <c r="AI297" t="s">
        <v>4064</v>
      </c>
      <c r="AJ297" s="114">
        <f>SUM(N20:N28)</f>
        <v>590530716.29999995</v>
      </c>
    </row>
    <row r="298" spans="16:40">
      <c r="AI298" t="s">
        <v>4136</v>
      </c>
      <c r="AJ298" s="114">
        <f>AJ297-AJ293</f>
        <v>191128368.29999995</v>
      </c>
    </row>
    <row r="299" spans="16:40">
      <c r="AI299" t="s">
        <v>943</v>
      </c>
      <c r="AJ299" s="114">
        <f>AN293</f>
        <v>30392608.451302551</v>
      </c>
    </row>
    <row r="300" spans="16:40">
      <c r="AI300" t="s">
        <v>4065</v>
      </c>
      <c r="AJ300" s="114">
        <f>AJ298-AJ299</f>
        <v>160735759.84869739</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6 S111 S120 S41 S71 S126 S128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F136" zoomScale="90" zoomScaleNormal="90" workbookViewId="0">
      <selection activeCell="M162" sqref="M16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4875</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4875</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4875</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4970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4970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4970</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4970</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4970</v>
      </c>
      <c r="X51" s="213" t="s">
        <v>4532</v>
      </c>
      <c r="Y51" s="113">
        <v>4949</v>
      </c>
      <c r="Z51" s="213">
        <v>1000</v>
      </c>
      <c r="AA51" s="213" t="s">
        <v>4242</v>
      </c>
      <c r="AB51" s="213">
        <v>192</v>
      </c>
      <c r="AC51" s="213" t="s">
        <v>4974</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4977</v>
      </c>
      <c r="X52" s="213" t="s">
        <v>4532</v>
      </c>
      <c r="Y52" s="113">
        <v>4957.7</v>
      </c>
      <c r="Z52" s="213" t="s">
        <v>4974</v>
      </c>
      <c r="AA52" s="213" t="s">
        <v>4389</v>
      </c>
      <c r="AB52" s="213">
        <v>3589.3</v>
      </c>
      <c r="AC52" s="213" t="s">
        <v>4974</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4977</v>
      </c>
      <c r="X53" s="213" t="s">
        <v>4532</v>
      </c>
      <c r="Y53" s="113">
        <v>4958</v>
      </c>
      <c r="Z53" s="213" t="s">
        <v>4974</v>
      </c>
      <c r="AA53" s="213" t="s">
        <v>4393</v>
      </c>
      <c r="AB53" s="213">
        <v>4730.8999999999996</v>
      </c>
      <c r="AC53" s="213" t="s">
        <v>4974</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4977</v>
      </c>
      <c r="X54" s="213" t="s">
        <v>4532</v>
      </c>
      <c r="Y54" s="113">
        <v>4958</v>
      </c>
      <c r="Z54" s="213" t="s">
        <v>4974</v>
      </c>
      <c r="AA54" s="213" t="s">
        <v>4407</v>
      </c>
      <c r="AB54" s="213">
        <v>671.9</v>
      </c>
      <c r="AC54" s="213" t="s">
        <v>4974</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4977</v>
      </c>
      <c r="X55" s="213" t="s">
        <v>4532</v>
      </c>
      <c r="Y55" s="113">
        <v>4958</v>
      </c>
      <c r="Z55" s="213" t="s">
        <v>4974</v>
      </c>
      <c r="AA55" s="213" t="s">
        <v>4242</v>
      </c>
      <c r="AB55" s="213">
        <v>194.4</v>
      </c>
      <c r="AC55" s="213" t="s">
        <v>4974</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5070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4875</v>
      </c>
      <c r="B59" s="95">
        <v>4700000</v>
      </c>
      <c r="C59" s="95">
        <v>4800000</v>
      </c>
      <c r="D59" s="95">
        <v>13300</v>
      </c>
      <c r="E59" s="95">
        <v>13450</v>
      </c>
      <c r="K59" s="168"/>
      <c r="L59" s="168"/>
      <c r="M59" s="168"/>
      <c r="N59" s="168"/>
      <c r="O59" s="168"/>
      <c r="W59" s="213" t="s">
        <v>5117</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5004</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5063</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5123</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5074</v>
      </c>
      <c r="AD68" s="99" t="s">
        <v>5079</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5066</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5070</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5078</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5082</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5137</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717</v>
      </c>
      <c r="AA79" s="99">
        <v>239.9</v>
      </c>
      <c r="AB79" s="99">
        <f>Z79/AA79</f>
        <v>2.9887453105460606</v>
      </c>
      <c r="AC79" s="99">
        <f>AB79/$X$75</f>
        <v>0.95450415225400997</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1.047664610393038</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4895</v>
      </c>
      <c r="J90" s="196">
        <f>L90-L89-1000000</f>
        <v>3840350</v>
      </c>
      <c r="K90" s="190" t="s">
        <v>4875</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4888</v>
      </c>
      <c r="L94" s="84">
        <v>698450869</v>
      </c>
      <c r="M94" s="84">
        <v>316326929</v>
      </c>
      <c r="N94" s="113">
        <f t="shared" si="23"/>
        <v>1014777798</v>
      </c>
      <c r="O94" s="113">
        <f t="shared" si="24"/>
        <v>3826929</v>
      </c>
      <c r="P94" s="113">
        <f t="shared" si="25"/>
        <v>14277798</v>
      </c>
      <c r="Q94" s="84">
        <v>0</v>
      </c>
    </row>
    <row r="95" spans="6:30">
      <c r="I95" s="190" t="s">
        <v>4894</v>
      </c>
      <c r="J95" s="196">
        <f>L95-L94-2520000</f>
        <v>-274657</v>
      </c>
      <c r="K95" s="190" t="s">
        <v>4891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4906</v>
      </c>
      <c r="L103" s="84">
        <v>716288384</v>
      </c>
      <c r="M103" s="84">
        <v>320388494</v>
      </c>
      <c r="N103" s="113">
        <f t="shared" si="26"/>
        <v>1036676878</v>
      </c>
      <c r="O103" s="113">
        <f t="shared" si="27"/>
        <v>1388494</v>
      </c>
      <c r="P103" s="113">
        <f t="shared" si="28"/>
        <v>1676878</v>
      </c>
      <c r="Q103" s="84">
        <v>0</v>
      </c>
    </row>
    <row r="104" spans="9:20">
      <c r="I104" s="190" t="s">
        <v>4953</v>
      </c>
      <c r="J104" s="196">
        <f>L104-L103-1400000</f>
        <v>-1688384</v>
      </c>
      <c r="K104" s="190" t="s">
        <v>4950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4952</v>
      </c>
      <c r="L105" s="84">
        <v>724529471</v>
      </c>
      <c r="M105" s="84">
        <v>326836192</v>
      </c>
      <c r="N105" s="113">
        <f t="shared" si="26"/>
        <v>1051365663</v>
      </c>
      <c r="O105" s="113">
        <f t="shared" si="27"/>
        <v>4836192</v>
      </c>
      <c r="P105" s="113">
        <f t="shared" si="28"/>
        <v>13365663</v>
      </c>
      <c r="Q105" s="84">
        <v>0</v>
      </c>
    </row>
    <row r="106" spans="9:20">
      <c r="I106" s="189" t="s">
        <v>4955</v>
      </c>
      <c r="J106" s="188">
        <f>L106-L105-1550000</f>
        <v>16319322</v>
      </c>
      <c r="K106" s="189" t="s">
        <v>4954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4956</v>
      </c>
      <c r="L107" s="84">
        <v>749984625</v>
      </c>
      <c r="M107" s="84">
        <v>336802679</v>
      </c>
      <c r="N107" s="113">
        <f t="shared" si="26"/>
        <v>1086787304</v>
      </c>
      <c r="O107" s="113">
        <f t="shared" si="27"/>
        <v>3414475</v>
      </c>
      <c r="P107" s="113">
        <f t="shared" si="28"/>
        <v>11000307</v>
      </c>
      <c r="Q107" s="84">
        <v>0</v>
      </c>
    </row>
    <row r="108" spans="9:20">
      <c r="I108" s="189" t="s">
        <v>4959</v>
      </c>
      <c r="J108" s="188">
        <f>L108-L107-250000</f>
        <v>9825827</v>
      </c>
      <c r="K108" s="189" t="s">
        <v>4899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4960</v>
      </c>
      <c r="L109" s="84">
        <v>764265377</v>
      </c>
      <c r="M109" s="84">
        <v>346850621</v>
      </c>
      <c r="N109" s="117">
        <f t="shared" si="26"/>
        <v>1111115998</v>
      </c>
      <c r="O109" s="113">
        <f t="shared" si="27"/>
        <v>4016059</v>
      </c>
      <c r="P109" s="113">
        <f t="shared" si="28"/>
        <v>8220984</v>
      </c>
      <c r="Q109" s="84">
        <v>0</v>
      </c>
    </row>
    <row r="110" spans="9:20" ht="45">
      <c r="I110" s="248" t="s">
        <v>4967</v>
      </c>
      <c r="J110" s="249">
        <f>L110-L109+48527480</f>
        <v>-4646184</v>
      </c>
      <c r="K110" s="216" t="s">
        <v>4964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4969</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4975</v>
      </c>
      <c r="J112" s="188">
        <f t="shared" si="21"/>
        <v>-11559770</v>
      </c>
      <c r="K112" s="189" t="s">
        <v>4970</v>
      </c>
      <c r="L112" s="239">
        <v>711658379</v>
      </c>
      <c r="M112" s="239">
        <v>375825031</v>
      </c>
      <c r="N112" s="188">
        <f t="shared" si="29"/>
        <v>1087483410</v>
      </c>
      <c r="O112" s="188">
        <f>M112-M111-400000</f>
        <v>-2767121</v>
      </c>
      <c r="P112" s="188">
        <f>N112-N111-400000</f>
        <v>-14326891</v>
      </c>
      <c r="Q112" s="84">
        <v>400000</v>
      </c>
      <c r="T112" t="s">
        <v>25</v>
      </c>
    </row>
    <row r="113" spans="9:19">
      <c r="I113" s="213" t="s">
        <v>4978</v>
      </c>
      <c r="J113" s="113">
        <f t="shared" si="21"/>
        <v>-47970668</v>
      </c>
      <c r="K113" s="213" t="s">
        <v>4977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4981</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4982</v>
      </c>
      <c r="L115" s="84">
        <v>673546379</v>
      </c>
      <c r="M115" s="84">
        <v>385390359</v>
      </c>
      <c r="N115" s="113">
        <f t="shared" si="29"/>
        <v>1058936738</v>
      </c>
      <c r="O115" s="113">
        <f t="shared" si="30"/>
        <v>4912397</v>
      </c>
      <c r="P115" s="113">
        <f t="shared" si="31"/>
        <v>5263899</v>
      </c>
      <c r="Q115" s="84">
        <v>0</v>
      </c>
    </row>
    <row r="116" spans="9:19">
      <c r="I116" s="189" t="s">
        <v>4985</v>
      </c>
      <c r="J116" s="188">
        <f t="shared" si="21"/>
        <v>-3653734</v>
      </c>
      <c r="K116" s="189" t="s">
        <v>4983</v>
      </c>
      <c r="L116" s="239">
        <v>669892645</v>
      </c>
      <c r="M116" s="239">
        <v>383350206</v>
      </c>
      <c r="N116" s="188">
        <f>L116+M116</f>
        <v>1053242851</v>
      </c>
      <c r="O116" s="188">
        <f>M116-M115-2000000</f>
        <v>-4040153</v>
      </c>
      <c r="P116" s="188">
        <f>N116-N115-2000000</f>
        <v>-7693887</v>
      </c>
      <c r="Q116" s="84">
        <v>2000000</v>
      </c>
    </row>
    <row r="117" spans="9:19">
      <c r="I117" s="189" t="s">
        <v>4988</v>
      </c>
      <c r="J117" s="188">
        <f t="shared" si="21"/>
        <v>-492645</v>
      </c>
      <c r="K117" s="189" t="s">
        <v>4986</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4989</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4990</v>
      </c>
      <c r="L119" s="84">
        <v>685000000</v>
      </c>
      <c r="M119" s="84">
        <v>395000000</v>
      </c>
      <c r="N119" s="113">
        <f t="shared" si="29"/>
        <v>1080000000</v>
      </c>
      <c r="O119" s="113">
        <f t="shared" si="30"/>
        <v>2295548</v>
      </c>
      <c r="P119" s="113">
        <f t="shared" si="31"/>
        <v>10130487</v>
      </c>
      <c r="Q119" s="84">
        <v>0</v>
      </c>
    </row>
    <row r="120" spans="9:19">
      <c r="I120" s="189" t="s">
        <v>4994</v>
      </c>
      <c r="J120" s="188">
        <f>L120-L119-2100000</f>
        <v>2603523</v>
      </c>
      <c r="K120" s="189" t="s">
        <v>4992</v>
      </c>
      <c r="L120" s="239">
        <v>689703523</v>
      </c>
      <c r="M120" s="239">
        <v>399879880</v>
      </c>
      <c r="N120" s="188">
        <f t="shared" si="29"/>
        <v>1089583403</v>
      </c>
      <c r="O120" s="188">
        <f t="shared" si="30"/>
        <v>4879880</v>
      </c>
      <c r="P120" s="188">
        <f>N120-N119-2100000</f>
        <v>7483403</v>
      </c>
      <c r="Q120" s="84">
        <v>2100000</v>
      </c>
    </row>
    <row r="121" spans="9:19">
      <c r="I121" s="189" t="s">
        <v>4999</v>
      </c>
      <c r="J121" s="188">
        <f>L121-L120-100000</f>
        <v>1223636</v>
      </c>
      <c r="K121" s="189" t="s">
        <v>4997</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5001</v>
      </c>
      <c r="L122" s="84">
        <v>687768941</v>
      </c>
      <c r="M122" s="84">
        <v>400952125</v>
      </c>
      <c r="N122" s="113">
        <f t="shared" si="29"/>
        <v>1088721066</v>
      </c>
      <c r="O122" s="113">
        <f t="shared" si="30"/>
        <v>-968588</v>
      </c>
      <c r="P122" s="113">
        <f t="shared" si="31"/>
        <v>-4226806</v>
      </c>
      <c r="Q122" s="229">
        <v>0</v>
      </c>
    </row>
    <row r="123" spans="9:19">
      <c r="I123" s="189" t="s">
        <v>5009</v>
      </c>
      <c r="J123" s="188">
        <f>L123-L122-115000</f>
        <v>-1004989</v>
      </c>
      <c r="K123" s="189" t="s">
        <v>5004</v>
      </c>
      <c r="L123" s="239">
        <v>686878952</v>
      </c>
      <c r="M123" s="239">
        <v>402566982</v>
      </c>
      <c r="N123" s="188">
        <f>L123+M123</f>
        <v>1089445934</v>
      </c>
      <c r="O123" s="188">
        <f>M123-M122-115000</f>
        <v>1499857</v>
      </c>
      <c r="P123" s="188">
        <f>N123-N122-230000</f>
        <v>494868</v>
      </c>
      <c r="Q123" s="229">
        <v>230000</v>
      </c>
    </row>
    <row r="124" spans="9:19">
      <c r="I124" s="189" t="s">
        <v>5013</v>
      </c>
      <c r="J124" s="188">
        <f>L124-L123-900000</f>
        <v>16455514</v>
      </c>
      <c r="K124" s="189" t="s">
        <v>5011</v>
      </c>
      <c r="L124" s="239">
        <v>704234466</v>
      </c>
      <c r="M124" s="239">
        <v>413359717</v>
      </c>
      <c r="N124" s="188">
        <f t="shared" ref="N124:N145" si="32">L124+M124</f>
        <v>1117594183</v>
      </c>
      <c r="O124" s="188">
        <f t="shared" si="30"/>
        <v>10792735</v>
      </c>
      <c r="P124" s="188">
        <f>N124-N123-900000</f>
        <v>27248249</v>
      </c>
      <c r="Q124" s="229">
        <v>900000</v>
      </c>
    </row>
    <row r="125" spans="9:19">
      <c r="I125" s="189" t="s">
        <v>5017</v>
      </c>
      <c r="J125" s="188">
        <f>L125-L124-241774</f>
        <v>7847987</v>
      </c>
      <c r="K125" s="189" t="s">
        <v>5014</v>
      </c>
      <c r="L125" s="239">
        <v>712324227</v>
      </c>
      <c r="M125" s="239">
        <v>416450606</v>
      </c>
      <c r="N125" s="188">
        <f>L125+M125</f>
        <v>1128774833</v>
      </c>
      <c r="O125" s="188">
        <f>M125-M124-50000</f>
        <v>3040889</v>
      </c>
      <c r="P125" s="188">
        <f>N125-N124-291774</f>
        <v>10888876</v>
      </c>
      <c r="Q125" s="229">
        <v>291774</v>
      </c>
    </row>
    <row r="126" spans="9:19">
      <c r="I126" s="189" t="s">
        <v>5028</v>
      </c>
      <c r="J126" s="188">
        <f>L126-L125-5701774</f>
        <v>-18426154</v>
      </c>
      <c r="K126" s="189" t="s">
        <v>5026</v>
      </c>
      <c r="L126" s="239">
        <v>699599847</v>
      </c>
      <c r="M126" s="239">
        <v>407446033</v>
      </c>
      <c r="N126" s="188">
        <f t="shared" si="32"/>
        <v>1107045880</v>
      </c>
      <c r="O126" s="188">
        <f>M126-M125-50000</f>
        <v>-9054573</v>
      </c>
      <c r="P126" s="188">
        <f>N126-N125-5751774</f>
        <v>-27480727</v>
      </c>
      <c r="Q126" s="229">
        <v>5751774</v>
      </c>
    </row>
    <row r="127" spans="9:19">
      <c r="I127" s="251" t="s">
        <v>5034</v>
      </c>
      <c r="J127" s="252">
        <f t="shared" si="21"/>
        <v>9831878</v>
      </c>
      <c r="K127" s="251" t="s">
        <v>5029</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5035</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5037</v>
      </c>
      <c r="L129" s="255">
        <v>716306417</v>
      </c>
      <c r="M129" s="255">
        <v>419768145</v>
      </c>
      <c r="N129" s="117">
        <f>L129+M129</f>
        <v>1136074562</v>
      </c>
      <c r="O129" s="117">
        <f>M129-M128</f>
        <v>2907177</v>
      </c>
      <c r="P129" s="117">
        <f>N129-N128</f>
        <v>6569162</v>
      </c>
      <c r="Q129" s="229">
        <v>0</v>
      </c>
    </row>
    <row r="130" spans="9:19">
      <c r="I130" s="189" t="s">
        <v>5047</v>
      </c>
      <c r="J130" s="188">
        <f t="shared" si="21"/>
        <v>-9284823</v>
      </c>
      <c r="K130" s="189" t="s">
        <v>5040</v>
      </c>
      <c r="L130" s="239">
        <v>707021594</v>
      </c>
      <c r="M130" s="239">
        <v>420305454</v>
      </c>
      <c r="N130" s="188">
        <f t="shared" si="32"/>
        <v>1127327048</v>
      </c>
      <c r="O130" s="188">
        <f>M130-M129-6800000</f>
        <v>-6262691</v>
      </c>
      <c r="P130" s="188">
        <f>N130-N129-6800000</f>
        <v>-15547514</v>
      </c>
      <c r="Q130" s="229">
        <v>6800000</v>
      </c>
      <c r="S130" t="s">
        <v>25</v>
      </c>
    </row>
    <row r="131" spans="9:19">
      <c r="I131" s="189" t="s">
        <v>5055</v>
      </c>
      <c r="J131" s="188">
        <f t="shared" si="21"/>
        <v>2112595</v>
      </c>
      <c r="K131" s="189" t="s">
        <v>5048</v>
      </c>
      <c r="L131" s="239">
        <v>709134189</v>
      </c>
      <c r="M131" s="239">
        <v>421097153</v>
      </c>
      <c r="N131" s="188">
        <f t="shared" si="32"/>
        <v>1130231342</v>
      </c>
      <c r="O131" s="188">
        <f>M131-M130-500000</f>
        <v>291699</v>
      </c>
      <c r="P131" s="188">
        <f>N131-N130-500000</f>
        <v>2404294</v>
      </c>
      <c r="Q131" s="229">
        <v>500000</v>
      </c>
      <c r="S131" t="s">
        <v>25</v>
      </c>
    </row>
    <row r="132" spans="9:19">
      <c r="I132" s="251" t="s">
        <v>5059</v>
      </c>
      <c r="J132" s="252">
        <f t="shared" si="21"/>
        <v>1064287</v>
      </c>
      <c r="K132" s="251" t="s">
        <v>5056</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5063</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5064</v>
      </c>
      <c r="L134" s="84">
        <v>744280570</v>
      </c>
      <c r="M134" s="84">
        <v>440002399</v>
      </c>
      <c r="N134" s="117">
        <f t="shared" si="32"/>
        <v>1184282969</v>
      </c>
      <c r="O134" s="113">
        <f t="shared" si="30"/>
        <v>10396274</v>
      </c>
      <c r="P134" s="113">
        <f t="shared" si="31"/>
        <v>31854556</v>
      </c>
      <c r="Q134" s="229">
        <v>0</v>
      </c>
    </row>
    <row r="135" spans="9:19">
      <c r="I135" s="189" t="s">
        <v>5086</v>
      </c>
      <c r="J135" s="188">
        <f>L135-L134-1130250</f>
        <v>-410820</v>
      </c>
      <c r="K135" s="189" t="s">
        <v>5066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5082</v>
      </c>
      <c r="L138" s="84">
        <v>736327754</v>
      </c>
      <c r="M138" s="84">
        <v>439057094</v>
      </c>
      <c r="N138" s="113">
        <f t="shared" si="32"/>
        <v>1175384848</v>
      </c>
      <c r="O138" s="113">
        <f t="shared" si="30"/>
        <v>5516545</v>
      </c>
      <c r="P138" s="113">
        <f t="shared" si="31"/>
        <v>9638954</v>
      </c>
      <c r="Q138" s="229">
        <v>0</v>
      </c>
    </row>
    <row r="139" spans="9:19">
      <c r="I139" s="189" t="s">
        <v>5085</v>
      </c>
      <c r="J139" s="188">
        <f>L139-L138-206000</f>
        <v>15013287</v>
      </c>
      <c r="K139" s="189" t="s">
        <v>5084</v>
      </c>
      <c r="L139" s="239">
        <v>751547041</v>
      </c>
      <c r="M139" s="239">
        <v>448656068</v>
      </c>
      <c r="N139" s="188">
        <f t="shared" si="32"/>
        <v>1200203109</v>
      </c>
      <c r="O139" s="188">
        <f>M139-M138-206000</f>
        <v>9392974</v>
      </c>
      <c r="P139" s="188">
        <f>N139-N138-412000</f>
        <v>24406261</v>
      </c>
      <c r="Q139" s="229">
        <v>412000</v>
      </c>
    </row>
    <row r="140" spans="9:19">
      <c r="I140" s="251" t="s">
        <v>5091</v>
      </c>
      <c r="J140" s="252">
        <f>L140-L139-50000</f>
        <v>22852739</v>
      </c>
      <c r="K140" s="251" t="s">
        <v>5090</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5096</v>
      </c>
      <c r="L141" s="84">
        <v>788064769</v>
      </c>
      <c r="M141" s="84">
        <v>470434493</v>
      </c>
      <c r="N141" s="117">
        <f t="shared" si="32"/>
        <v>1258499262</v>
      </c>
      <c r="O141" s="113">
        <f t="shared" si="30"/>
        <v>9638295</v>
      </c>
      <c r="P141" s="113">
        <f t="shared" si="31"/>
        <v>23253284</v>
      </c>
      <c r="Q141" s="229">
        <v>0</v>
      </c>
    </row>
    <row r="142" spans="9:19">
      <c r="I142" s="189" t="s">
        <v>5100</v>
      </c>
      <c r="J142" s="188">
        <f>L142-L141-105000</f>
        <v>7274368</v>
      </c>
      <c r="K142" s="189" t="s">
        <v>5097</v>
      </c>
      <c r="L142" s="239">
        <v>795444137</v>
      </c>
      <c r="M142" s="239">
        <v>496046411</v>
      </c>
      <c r="N142" s="188">
        <f t="shared" si="32"/>
        <v>1291490548</v>
      </c>
      <c r="O142" s="188">
        <f>M142-M141-20000000</f>
        <v>5611918</v>
      </c>
      <c r="P142" s="188">
        <f>N142-N141-20105000</f>
        <v>12886286</v>
      </c>
      <c r="Q142" s="229">
        <v>20105000</v>
      </c>
    </row>
    <row r="143" spans="9:19">
      <c r="I143" s="265" t="s">
        <v>5114</v>
      </c>
      <c r="J143" s="266">
        <f>L143-L142+21285588</f>
        <v>17942685</v>
      </c>
      <c r="K143" s="265" t="s">
        <v>5103</v>
      </c>
      <c r="L143" s="267">
        <v>792101234</v>
      </c>
      <c r="M143" s="267">
        <v>504721695</v>
      </c>
      <c r="N143" s="266">
        <f t="shared" si="32"/>
        <v>1296822929</v>
      </c>
      <c r="O143" s="266">
        <f t="shared" si="30"/>
        <v>8675284</v>
      </c>
      <c r="P143" s="266">
        <f>N143-N142+21285588</f>
        <v>26617969</v>
      </c>
      <c r="Q143" s="229">
        <v>-21285588</v>
      </c>
    </row>
    <row r="144" spans="9:19">
      <c r="I144" s="265" t="s">
        <v>5115</v>
      </c>
      <c r="J144" s="266">
        <f>L144-L143+5949277</f>
        <v>6616903</v>
      </c>
      <c r="K144" s="265" t="s">
        <v>5106</v>
      </c>
      <c r="L144" s="267">
        <v>792768860</v>
      </c>
      <c r="M144" s="267">
        <v>507955566</v>
      </c>
      <c r="N144" s="249">
        <f t="shared" si="32"/>
        <v>1300724426</v>
      </c>
      <c r="O144" s="266">
        <f t="shared" si="30"/>
        <v>3233871</v>
      </c>
      <c r="P144" s="266">
        <f>N144-N143+5949277</f>
        <v>9850774</v>
      </c>
      <c r="Q144" s="229">
        <v>-5949277</v>
      </c>
    </row>
    <row r="145" spans="9:23" ht="30">
      <c r="I145" s="248" t="s">
        <v>5116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5122</v>
      </c>
      <c r="J146" s="220">
        <f>L146-L145+15482124</f>
        <v>-6662026</v>
      </c>
      <c r="K146" s="219" t="s">
        <v>5117</v>
      </c>
      <c r="L146" s="269">
        <v>750934432</v>
      </c>
      <c r="M146" s="269">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5123</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5125</v>
      </c>
      <c r="L149" s="84">
        <v>740819252</v>
      </c>
      <c r="M149" s="84">
        <v>470305993</v>
      </c>
      <c r="N149" s="113">
        <f t="shared" si="33"/>
        <v>1211125245</v>
      </c>
      <c r="O149" s="113">
        <f t="shared" si="35"/>
        <v>-1758760</v>
      </c>
      <c r="P149" s="113">
        <f t="shared" si="36"/>
        <v>-3863586</v>
      </c>
      <c r="Q149" s="229">
        <v>0</v>
      </c>
      <c r="V149" t="s">
        <v>25</v>
      </c>
    </row>
    <row r="150" spans="9:23">
      <c r="I150" s="189" t="s">
        <v>5128</v>
      </c>
      <c r="J150" s="188">
        <f t="shared" si="34"/>
        <v>19640187</v>
      </c>
      <c r="K150" s="189" t="s">
        <v>5127</v>
      </c>
      <c r="L150" s="239">
        <v>760459439</v>
      </c>
      <c r="M150" s="239">
        <v>480341526</v>
      </c>
      <c r="N150" s="188">
        <f t="shared" si="33"/>
        <v>1240800965</v>
      </c>
      <c r="O150" s="188">
        <f>M150-M149-2480000</f>
        <v>7555533</v>
      </c>
      <c r="P150" s="188">
        <f>N150-N149-2480000</f>
        <v>27195720</v>
      </c>
      <c r="Q150" s="229">
        <v>2480000</v>
      </c>
    </row>
    <row r="151" spans="9:23">
      <c r="I151" s="213" t="s">
        <v>5131</v>
      </c>
      <c r="J151" s="113">
        <f>L151-L150-10000000</f>
        <v>7047541</v>
      </c>
      <c r="K151" s="213" t="s">
        <v>5130</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5151</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5137</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5170</v>
      </c>
      <c r="J160" s="188">
        <f>L160-L159-1000000</f>
        <v>-11757327</v>
      </c>
      <c r="K160" s="189" t="s">
        <v>5169</v>
      </c>
      <c r="L160" s="239">
        <v>794485957</v>
      </c>
      <c r="M160" s="239">
        <v>500307505</v>
      </c>
      <c r="N160" s="188">
        <f t="shared" si="33"/>
        <v>1294793462</v>
      </c>
      <c r="O160" s="188">
        <f>M160-M159-400000</f>
        <v>-10458506</v>
      </c>
      <c r="P160" s="188">
        <f>N160-N159-1400000</f>
        <v>-22215833</v>
      </c>
      <c r="Q160" s="229">
        <v>1400000</v>
      </c>
    </row>
    <row r="161" spans="9:18">
      <c r="I161" s="213"/>
      <c r="J161" s="113">
        <f t="shared" si="34"/>
        <v>-794485957</v>
      </c>
      <c r="K161" s="213"/>
      <c r="L161" s="84"/>
      <c r="M161" s="84"/>
      <c r="N161" s="113"/>
      <c r="O161" s="113">
        <f t="shared" si="37"/>
        <v>-500307505</v>
      </c>
      <c r="P161" s="113">
        <f t="shared" si="38"/>
        <v>-1294793462</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4871</v>
      </c>
      <c r="B50" s="113">
        <v>-4500</v>
      </c>
      <c r="C50" s="99" t="s">
        <v>452</v>
      </c>
      <c r="D50" s="99">
        <v>1</v>
      </c>
      <c r="E50" s="99">
        <f t="shared" si="6"/>
        <v>12</v>
      </c>
      <c r="F50" s="99">
        <f t="shared" si="7"/>
        <v>0</v>
      </c>
      <c r="G50" s="99">
        <f t="shared" si="8"/>
        <v>-54000</v>
      </c>
    </row>
    <row r="51" spans="1:13">
      <c r="A51" s="99" t="s">
        <v>4872</v>
      </c>
      <c r="B51" s="113">
        <v>-328000</v>
      </c>
      <c r="C51" s="99" t="s">
        <v>452</v>
      </c>
      <c r="D51" s="99">
        <v>4</v>
      </c>
      <c r="E51" s="99">
        <f t="shared" ref="E51:E61" si="9">E52+D51</f>
        <v>11</v>
      </c>
      <c r="F51" s="99">
        <f t="shared" ref="F51:F61" si="10">IF(B51&gt;0,1,0)</f>
        <v>0</v>
      </c>
      <c r="G51" s="99">
        <f t="shared" ref="G51:G61" si="11">B51*(E51-F51)</f>
        <v>-3608000</v>
      </c>
    </row>
    <row r="52" spans="1:13">
      <c r="A52" s="99" t="s">
        <v>4876</v>
      </c>
      <c r="B52" s="113">
        <v>-195330</v>
      </c>
      <c r="C52" s="99" t="s">
        <v>4882</v>
      </c>
      <c r="D52" s="99">
        <v>1</v>
      </c>
      <c r="E52" s="99">
        <f t="shared" si="9"/>
        <v>7</v>
      </c>
      <c r="F52" s="99">
        <f t="shared" si="10"/>
        <v>0</v>
      </c>
      <c r="G52" s="99">
        <f t="shared" si="11"/>
        <v>-1367310</v>
      </c>
    </row>
    <row r="53" spans="1:13">
      <c r="A53" s="99" t="s">
        <v>4885</v>
      </c>
      <c r="B53" s="113">
        <v>-140730</v>
      </c>
      <c r="C53" s="99" t="s">
        <v>4889</v>
      </c>
      <c r="D53" s="99">
        <v>1</v>
      </c>
      <c r="E53" s="99">
        <f t="shared" si="9"/>
        <v>6</v>
      </c>
      <c r="F53" s="99">
        <f t="shared" si="10"/>
        <v>0</v>
      </c>
      <c r="G53" s="99">
        <f t="shared" si="11"/>
        <v>-844380</v>
      </c>
    </row>
    <row r="54" spans="1:13">
      <c r="A54" s="99" t="s">
        <v>4887</v>
      </c>
      <c r="B54" s="113">
        <v>-4200</v>
      </c>
      <c r="C54" s="99" t="s">
        <v>1070</v>
      </c>
      <c r="D54" s="99">
        <v>0</v>
      </c>
      <c r="E54" s="99">
        <f t="shared" si="9"/>
        <v>5</v>
      </c>
      <c r="F54" s="99">
        <f t="shared" si="10"/>
        <v>0</v>
      </c>
      <c r="G54" s="99">
        <f t="shared" si="11"/>
        <v>-21000</v>
      </c>
    </row>
    <row r="55" spans="1:13">
      <c r="A55" s="99" t="s">
        <v>4887</v>
      </c>
      <c r="B55" s="113">
        <v>-66567</v>
      </c>
      <c r="C55" s="99" t="s">
        <v>4014</v>
      </c>
      <c r="D55" s="99">
        <v>4</v>
      </c>
      <c r="E55" s="99">
        <f t="shared" si="9"/>
        <v>5</v>
      </c>
      <c r="F55" s="99">
        <f t="shared" si="10"/>
        <v>0</v>
      </c>
      <c r="G55" s="99">
        <f t="shared" si="11"/>
        <v>-332835</v>
      </c>
    </row>
    <row r="56" spans="1:13">
      <c r="A56" s="99" t="s">
        <v>4891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5108</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5107</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4875</v>
      </c>
      <c r="B26" s="95">
        <v>0</v>
      </c>
      <c r="C26" s="95">
        <v>12000</v>
      </c>
      <c r="D26" s="99" t="s">
        <v>4884</v>
      </c>
    </row>
    <row r="27" spans="1:9">
      <c r="A27" s="99" t="s">
        <v>4876</v>
      </c>
      <c r="B27" s="95">
        <v>0</v>
      </c>
      <c r="C27" s="95">
        <v>1000</v>
      </c>
      <c r="D27" s="99" t="s">
        <v>315</v>
      </c>
    </row>
    <row r="28" spans="1:9">
      <c r="A28" s="99" t="s">
        <v>4885</v>
      </c>
      <c r="B28" s="95">
        <v>0</v>
      </c>
      <c r="C28" s="95">
        <v>1000</v>
      </c>
      <c r="D28" s="99" t="s">
        <v>315</v>
      </c>
    </row>
    <row r="29" spans="1:9">
      <c r="A29" s="99" t="s">
        <v>4887</v>
      </c>
      <c r="B29" s="95">
        <v>0</v>
      </c>
      <c r="C29" s="95">
        <v>1000</v>
      </c>
      <c r="D29" s="99" t="s">
        <v>315</v>
      </c>
    </row>
    <row r="30" spans="1:9">
      <c r="A30" s="99" t="s">
        <v>4888</v>
      </c>
      <c r="B30" s="95">
        <v>0</v>
      </c>
      <c r="C30" s="95">
        <v>5500</v>
      </c>
      <c r="D30" s="99" t="s">
        <v>4719</v>
      </c>
    </row>
    <row r="31" spans="1:9">
      <c r="A31" s="99" t="s">
        <v>4888</v>
      </c>
      <c r="B31" s="95">
        <v>11000</v>
      </c>
      <c r="C31" s="95">
        <v>0</v>
      </c>
      <c r="D31" s="99" t="s">
        <v>4718</v>
      </c>
    </row>
    <row r="32" spans="1:9">
      <c r="A32" s="99" t="s">
        <v>4896</v>
      </c>
      <c r="B32" s="95">
        <v>0</v>
      </c>
      <c r="C32" s="95">
        <v>1000</v>
      </c>
      <c r="D32" s="99" t="s">
        <v>315</v>
      </c>
      <c r="H32" t="s">
        <v>25</v>
      </c>
    </row>
    <row r="33" spans="1:10">
      <c r="A33" s="99" t="s">
        <v>4898</v>
      </c>
      <c r="B33" s="95">
        <v>0</v>
      </c>
      <c r="C33" s="95">
        <v>1000</v>
      </c>
      <c r="D33" s="99" t="s">
        <v>315</v>
      </c>
      <c r="H33" t="s">
        <v>25</v>
      </c>
    </row>
    <row r="34" spans="1:10">
      <c r="A34" s="99" t="s">
        <v>4900</v>
      </c>
      <c r="B34" s="95">
        <v>0</v>
      </c>
      <c r="C34" s="95">
        <v>1000</v>
      </c>
      <c r="D34" s="99" t="s">
        <v>315</v>
      </c>
    </row>
    <row r="35" spans="1:10">
      <c r="A35" s="99" t="s">
        <v>4901</v>
      </c>
      <c r="B35" s="95">
        <v>0</v>
      </c>
      <c r="C35" s="95">
        <v>1000</v>
      </c>
      <c r="D35" s="99" t="s">
        <v>315</v>
      </c>
      <c r="J35" t="s">
        <v>25</v>
      </c>
    </row>
    <row r="36" spans="1:10">
      <c r="A36" s="99" t="s">
        <v>4906</v>
      </c>
      <c r="B36" s="95">
        <v>1000</v>
      </c>
      <c r="C36" s="95">
        <v>0</v>
      </c>
      <c r="D36" s="99" t="s">
        <v>315</v>
      </c>
    </row>
    <row r="37" spans="1:10">
      <c r="A37" s="99" t="s">
        <v>4906</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2019-07-28T10:00:04Z</dcterms:modified>
</cp:coreProperties>
</file>