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مهر97" sheetId="4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شهریور97" sheetId="46" r:id="rId38"/>
    <sheet name="لیست خرید و فروش" sheetId="32" r:id="rId39"/>
    <sheet name="اوراق بدون ریسک" sheetId="33" r:id="rId40"/>
    <sheet name="نکات" sheetId="35" r:id="rId41"/>
    <sheet name="سکه" sheetId="36" r:id="rId42"/>
    <sheet name="apply" sheetId="37" r:id="rId43"/>
    <sheet name="بیمه" sheetId="39" r:id="rId44"/>
    <sheet name="آرشیو قیمت ارجینال" sheetId="40" r:id="rId45"/>
    <sheet name="تحلیل1" sheetId="41" r:id="rId46"/>
  </sheets>
  <calcPr calcId="145621"/>
</workbook>
</file>

<file path=xl/calcChain.xml><?xml version="1.0" encoding="utf-8"?>
<calcChain xmlns="http://schemas.openxmlformats.org/spreadsheetml/2006/main">
  <c r="Q37" i="18" l="1"/>
  <c r="Q41" i="18"/>
  <c r="S33" i="18"/>
  <c r="S34" i="18" s="1"/>
  <c r="P34" i="18"/>
  <c r="D60" i="48"/>
  <c r="C8" i="36" l="1"/>
  <c r="C267" i="20" l="1"/>
  <c r="B8" i="36" l="1"/>
  <c r="B10" i="36" l="1"/>
  <c r="N19" i="18"/>
  <c r="K3" i="33" l="1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2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2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2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AP24" i="18" l="1"/>
  <c r="L21" i="33" l="1"/>
  <c r="L18" i="33"/>
  <c r="L17" i="33"/>
  <c r="N23" i="33"/>
  <c r="N22" i="33"/>
  <c r="R22" i="33" s="1"/>
  <c r="N21" i="33"/>
  <c r="B21" i="33" s="1"/>
  <c r="N20" i="33"/>
  <c r="N19" i="33"/>
  <c r="N18" i="33"/>
  <c r="R18" i="33" s="1"/>
  <c r="N17" i="33"/>
  <c r="B17" i="33" s="1"/>
  <c r="N9" i="33"/>
  <c r="N3" i="33"/>
  <c r="N4" i="33"/>
  <c r="B20" i="33" l="1"/>
  <c r="L22" i="33"/>
  <c r="R21" i="33"/>
  <c r="R17" i="33"/>
  <c r="B23" i="33"/>
  <c r="R9" i="33"/>
  <c r="B18" i="33"/>
  <c r="L20" i="33"/>
  <c r="B22" i="33"/>
  <c r="R23" i="33"/>
  <c r="R19" i="33"/>
  <c r="B3" i="33"/>
  <c r="L9" i="33"/>
  <c r="B19" i="33"/>
  <c r="R20" i="33"/>
  <c r="L3" i="33"/>
  <c r="L19" i="33"/>
  <c r="L23" i="33"/>
  <c r="B9" i="33"/>
  <c r="AH80" i="18"/>
  <c r="AC15" i="33" l="1"/>
  <c r="N16" i="33" l="1"/>
  <c r="L16" i="33" s="1"/>
  <c r="B16" i="33" l="1"/>
  <c r="R16" i="33"/>
  <c r="N27" i="18"/>
  <c r="L25" i="18"/>
  <c r="K223" i="20" l="1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22" i="20" l="1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4" i="18" l="1"/>
  <c r="AJ79" i="18" l="1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AP55" i="18"/>
  <c r="B29" i="46"/>
  <c r="G27" i="46"/>
  <c r="H27" i="46"/>
  <c r="I27" i="46"/>
  <c r="D27" i="46"/>
  <c r="L19" i="18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23" i="18" l="1"/>
  <c r="AK77" i="18"/>
  <c r="AK76" i="18"/>
  <c r="AK79" i="18"/>
  <c r="AK74" i="18"/>
  <c r="AK78" i="18"/>
  <c r="AK75" i="18"/>
  <c r="AK72" i="18"/>
  <c r="AK7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P42" i="18" l="1"/>
  <c r="P43" i="18" s="1"/>
  <c r="N43" i="18" s="1"/>
  <c r="N42" i="18" l="1"/>
  <c r="N33" i="18" l="1"/>
  <c r="AH86" i="18" l="1"/>
  <c r="AH87" i="18" s="1"/>
  <c r="AK70" i="18"/>
  <c r="AK71" i="18"/>
  <c r="AJ68" i="18" l="1"/>
  <c r="AJ67" i="18" s="1"/>
  <c r="U42" i="18"/>
  <c r="AK68" i="18" l="1"/>
  <c r="AK69" i="18"/>
  <c r="AJ66" i="18"/>
  <c r="AK67" i="18"/>
  <c r="AJ65" i="18" l="1"/>
  <c r="AK66" i="18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AJ56" i="18" l="1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AJ52" i="18"/>
  <c r="AK53" i="18"/>
  <c r="E38" i="14"/>
  <c r="G38" i="14" s="1"/>
  <c r="J180" i="20" l="1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B27" i="48" l="1"/>
  <c r="D2" i="48"/>
  <c r="I2" i="48" s="1"/>
  <c r="I28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D64" i="43"/>
  <c r="I33" i="48" l="1"/>
  <c r="D27" i="48"/>
  <c r="AJ45" i="18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5" i="33"/>
  <c r="R15" i="33" s="1"/>
  <c r="E244" i="15"/>
  <c r="AK39" i="18" l="1"/>
  <c r="AJ38" i="18"/>
  <c r="B15" i="33"/>
  <c r="L15" i="33"/>
  <c r="E26" i="14"/>
  <c r="G27" i="14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B14" i="33" s="1"/>
  <c r="N6" i="33"/>
  <c r="B6" i="33" s="1"/>
  <c r="AJ36" i="18" l="1"/>
  <c r="AK37" i="18"/>
  <c r="E24" i="14"/>
  <c r="G25" i="14"/>
  <c r="U14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55" i="33"/>
  <c r="J53" i="33"/>
  <c r="J52" i="33"/>
  <c r="L55" i="33" l="1"/>
  <c r="AK31" i="18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80" i="18" s="1"/>
  <c r="AL8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H85" i="18" l="1"/>
  <c r="AH89" i="18" s="1"/>
  <c r="AH88" i="18"/>
  <c r="E178" i="13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2" i="33"/>
  <c r="B32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2" i="33"/>
  <c r="U32" i="33"/>
  <c r="I40" i="32"/>
  <c r="P36" i="33"/>
  <c r="P33" i="33"/>
  <c r="P31" i="33"/>
  <c r="P24" i="33"/>
  <c r="P34" i="33"/>
  <c r="P26" i="33"/>
  <c r="P27" i="33"/>
  <c r="P28" i="33"/>
  <c r="P29" i="33"/>
  <c r="P30" i="33"/>
  <c r="P25" i="33"/>
  <c r="E131" i="13" l="1"/>
  <c r="G132" i="13"/>
  <c r="AF2" i="33"/>
  <c r="Y2" i="33" s="1"/>
  <c r="N36" i="33"/>
  <c r="B36" i="33" s="1"/>
  <c r="N35" i="33"/>
  <c r="B35" i="33" s="1"/>
  <c r="N33" i="33"/>
  <c r="B33" i="33" s="1"/>
  <c r="N13" i="33"/>
  <c r="N12" i="33"/>
  <c r="B12" i="33" s="1"/>
  <c r="N11" i="33"/>
  <c r="B11" i="33" s="1"/>
  <c r="N10" i="33"/>
  <c r="B10" i="33" s="1"/>
  <c r="N8" i="33"/>
  <c r="B8" i="33" s="1"/>
  <c r="N7" i="33"/>
  <c r="B7" i="33" s="1"/>
  <c r="B4" i="33"/>
  <c r="B2" i="33"/>
  <c r="N31" i="33"/>
  <c r="N34" i="33"/>
  <c r="B34" i="33" s="1"/>
  <c r="N5" i="33"/>
  <c r="B5" i="33" s="1"/>
  <c r="N30" i="33"/>
  <c r="B30" i="33" s="1"/>
  <c r="N29" i="33"/>
  <c r="B29" i="33" s="1"/>
  <c r="N28" i="33"/>
  <c r="B28" i="33" s="1"/>
  <c r="N27" i="33"/>
  <c r="B27" i="33" s="1"/>
  <c r="N26" i="33"/>
  <c r="B26" i="33" s="1"/>
  <c r="N25" i="33"/>
  <c r="B25" i="33" s="1"/>
  <c r="N24" i="33"/>
  <c r="B24" i="33" s="1"/>
  <c r="B31" i="33" l="1"/>
  <c r="U31" i="33" s="1"/>
  <c r="B13" i="33"/>
  <c r="U13" i="33" s="1"/>
  <c r="E130" i="13"/>
  <c r="G131" i="13"/>
  <c r="U25" i="33"/>
  <c r="L27" i="33"/>
  <c r="L10" i="33"/>
  <c r="U10" i="33"/>
  <c r="L28" i="33"/>
  <c r="U28" i="33"/>
  <c r="R34" i="33"/>
  <c r="L34" i="33"/>
  <c r="U34" i="33"/>
  <c r="L11" i="33"/>
  <c r="U11" i="33"/>
  <c r="L29" i="33"/>
  <c r="U29" i="33"/>
  <c r="L31" i="33"/>
  <c r="L12" i="33"/>
  <c r="U12" i="33"/>
  <c r="L30" i="33"/>
  <c r="U30" i="33"/>
  <c r="L2" i="33"/>
  <c r="U2" i="33"/>
  <c r="L13" i="33"/>
  <c r="L4" i="33"/>
  <c r="U4" i="33"/>
  <c r="L33" i="33"/>
  <c r="U33" i="33"/>
  <c r="L24" i="33"/>
  <c r="U24" i="33"/>
  <c r="L6" i="33"/>
  <c r="U6" i="33"/>
  <c r="L35" i="33"/>
  <c r="U35" i="33"/>
  <c r="L25" i="33"/>
  <c r="L7" i="33"/>
  <c r="U7" i="33"/>
  <c r="L36" i="33"/>
  <c r="U36" i="33"/>
  <c r="L26" i="33"/>
  <c r="U26" i="33"/>
  <c r="L5" i="33"/>
  <c r="U5" i="33"/>
  <c r="L8" i="33"/>
  <c r="U8" i="33"/>
  <c r="R31" i="33"/>
  <c r="R12" i="33"/>
  <c r="R24" i="33"/>
  <c r="R2" i="33"/>
  <c r="R13" i="33"/>
  <c r="R32" i="33"/>
  <c r="R33" i="33"/>
  <c r="R6" i="33"/>
  <c r="R36" i="33"/>
  <c r="R29" i="33"/>
  <c r="R10" i="33"/>
  <c r="R25" i="33"/>
  <c r="R4" i="33"/>
  <c r="R26" i="33"/>
  <c r="R35" i="33"/>
  <c r="U27" i="33"/>
  <c r="R27" i="33"/>
  <c r="R7" i="33"/>
  <c r="R28" i="33"/>
  <c r="R5" i="33"/>
  <c r="R8" i="33"/>
  <c r="R30" i="33"/>
  <c r="R11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45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l="1"/>
  <c r="L45" i="18"/>
  <c r="E33" i="13"/>
  <c r="G34" i="13"/>
  <c r="I97" i="20"/>
  <c r="K97" i="20"/>
  <c r="J97" i="20"/>
  <c r="F108" i="15"/>
  <c r="C20" i="18"/>
  <c r="G20" i="14"/>
  <c r="G21" i="14"/>
  <c r="L4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<sst xmlns="http://schemas.openxmlformats.org/spreadsheetml/2006/main" count="9038" uniqueCount="4300">
  <si>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</si>
  <si>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</si>
  <si>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</si>
  <si>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</si>
  <si>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</si>
  <si>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</si>
  <si>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</si>
  <si>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</si>
  <si>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</si>
  <si>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</si>
  <si>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</si>
  <si>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</si>
  <si>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</si>
  <si>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</si>
  <si>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</si>
  <si>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</si>
  <si>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</si>
  <si>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</si>
  <si>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</si>
  <si>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</si>
  <si>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</si>
  <si>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</si>
  <si>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</si>
  <si>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</si>
  <si>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</si>
  <si>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</si>
  <si>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</si>
  <si>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</si>
  <si>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</si>
  <si>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</si>
  <si>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</si>
  <si>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</si>
  <si>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</si>
  <si>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</si>
  <si>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</si>
  <si>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</si>
  <si>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</si>
  <si>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</si>
  <si>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</si>
  <si>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</si>
  <si>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</si>
  <si>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</si>
  <si>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</si>
  <si>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</si>
  <si>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</si>
  <si>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</si>
  <si>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</si>
  <si>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</si>
  <si>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</si>
  <si>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</si>
  <si>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</si>
  <si>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</si>
  <si>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</si>
  <si>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</si>
  <si>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</si>
  <si>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</si>
  <si>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</si>
  <si>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</si>
  <si>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</si>
  <si>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</si>
  <si>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</si>
  <si>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</si>
  <si>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</si>
  <si>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</si>
  <si>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</si>
  <si>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</si>
  <si>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</si>
  <si>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</si>
  <si>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</si>
  <si>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</si>
  <si>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</si>
  <si>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</si>
  <si>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</si>
  <si>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</si>
  <si>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</si>
  <si>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</si>
  <si>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</si>
  <si>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</si>
  <si>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</si>
  <si>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</si>
  <si>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</si>
  <si>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</si>
  <si>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</si>
  <si>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</si>
  <si>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</si>
  <si>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</si>
  <si>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</si>
  <si>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</si>
  <si>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</si>
  <si>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</si>
  <si>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</si>
  <si>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</si>
  <si>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</si>
  <si>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</si>
  <si>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</si>
  <si>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</si>
  <si>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</si>
  <si>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</si>
  <si>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</si>
  <si>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</si>
  <si>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</si>
  <si>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</si>
  <si>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</si>
  <si>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</si>
  <si>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</si>
  <si>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</si>
  <si>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</si>
  <si>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</si>
  <si>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</si>
  <si>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</si>
  <si>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</si>
  <si>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</si>
  <si>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</si>
  <si>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</si>
  <si>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</si>
  <si>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</si>
  <si>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</si>
  <si>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</si>
  <si>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</si>
  <si>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</si>
  <si>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</si>
  <si>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</si>
  <si>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</si>
  <si>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</si>
  <si>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</si>
  <si>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</si>
  <si>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</si>
  <si>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</si>
  <si>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</si>
  <si>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</si>
  <si>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</si>
  <si>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</si>
  <si>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</si>
  <si>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</si>
  <si>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</si>
  <si>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</si>
  <si>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</si>
  <si>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</si>
  <si>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</si>
  <si>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</si>
  <si>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</si>
  <si>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</si>
  <si>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</si>
  <si>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</si>
  <si>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</si>
  <si>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</si>
  <si>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</si>
  <si>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</si>
  <si>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</si>
  <si>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</si>
  <si>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</si>
  <si>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</si>
  <si>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</si>
  <si>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</si>
  <si>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</si>
  <si>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</si>
  <si>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</si>
  <si>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</si>
  <si>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</si>
  <si>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</si>
  <si>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</si>
  <si>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</si>
  <si>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</si>
  <si>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</si>
  <si>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</si>
  <si>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</si>
  <si>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</si>
  <si>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</si>
  <si>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</si>
  <si>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</si>
  <si>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</si>
  <si>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</si>
  <si>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</si>
  <si>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</si>
  <si>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</si>
  <si>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</si>
  <si>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</si>
  <si>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</si>
  <si>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</si>
  <si>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</si>
  <si>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</si>
  <si>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</si>
  <si>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</si>
  <si>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</si>
  <si>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</si>
  <si>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</si>
  <si>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</si>
  <si>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</si>
  <si>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</si>
  <si>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</si>
  <si>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</si>
  <si>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</si>
  <si>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</si>
  <si>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</si>
  <si>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</si>
  <si>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</si>
  <si>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</si>
  <si>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</si>
  <si>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</si>
  <si>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</si>
  <si>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</si>
  <si>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</si>
  <si>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</si>
  <si>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</si>
  <si>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</si>
  <si>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</si>
  <si>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</si>
  <si>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</si>
  <si>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</si>
  <si>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</si>
  <si>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</si>
  <si>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</si>
  <si>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</si>
  <si>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</si>
  <si>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</si>
  <si>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</si>
  <si>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</si>
  <si>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</si>
  <si>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</si>
  <si>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</si>
  <si>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</si>
  <si>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</si>
  <si>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</si>
  <si>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</si>
  <si>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</si>
  <si>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</si>
  <si>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</si>
  <si>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</si>
  <si>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</si>
  <si>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</si>
  <si>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</si>
  <si>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</si>
  <si>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</si>
  <si>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</si>
  <si>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</si>
  <si>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</si>
  <si>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</si>
  <si>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</si>
  <si>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</si>
  <si>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</si>
  <si>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</si>
  <si>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</si>
  <si>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</si>
  <si>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</si>
  <si>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</si>
  <si>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</si>
  <si>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</si>
  <si>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</si>
  <si>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</si>
  <si>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</si>
  <si>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</si>
  <si>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</si>
  <si>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</si>
  <si>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</si>
  <si>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</si>
  <si>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</si>
  <si>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</si>
  <si>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</si>
  <si>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</si>
  <si>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</si>
  <si>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</si>
  <si>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</si>
  <si>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</si>
  <si>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</si>
  <si>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</si>
  <si>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</si>
  <si>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</si>
  <si>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</si>
  <si>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</si>
  <si>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</si>
  <si>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</si>
  <si>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</si>
  <si>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</si>
  <si>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</si>
  <si>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</si>
  <si>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</si>
  <si>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</si>
  <si>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</si>
  <si>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</si>
  <si>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</si>
  <si>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</si>
  <si>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</si>
  <si>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</si>
  <si>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</si>
  <si>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</si>
  <si>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</si>
  <si>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</si>
  <si>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</si>
  <si>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</si>
  <si>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</si>
  <si>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</si>
  <si>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</si>
  <si>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</si>
  <si>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</si>
  <si>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</si>
  <si>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</si>
  <si>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</si>
  <si>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</si>
  <si>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</si>
  <si>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</si>
  <si>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</si>
  <si>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</si>
  <si>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</si>
  <si>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</si>
  <si>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</si>
  <si>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</si>
  <si>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</si>
  <si>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</si>
  <si>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</si>
  <si>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</si>
  <si>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</si>
  <si>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</si>
  <si>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</si>
  <si>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</si>
  <si>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</si>
  <si>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</si>
  <si>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</si>
  <si>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</si>
  <si>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</si>
  <si>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</si>
  <si>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</si>
  <si>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</si>
  <si>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</si>
  <si>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</si>
  <si>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</si>
  <si>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</si>
  <si>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</si>
  <si>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</si>
  <si>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</si>
  <si>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</si>
  <si>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</si>
  <si>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</si>
  <si>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</si>
  <si>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</si>
  <si>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</si>
  <si>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</si>
  <si>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</si>
  <si>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</si>
  <si>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</si>
  <si>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</si>
  <si>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</si>
  <si>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</si>
  <si>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</si>
  <si>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</si>
  <si>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</si>
  <si>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</si>
  <si>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</si>
  <si>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</si>
  <si>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</si>
  <si>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</si>
  <si>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</si>
  <si>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</si>
  <si>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</si>
  <si>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</si>
  <si>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</si>
  <si>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</si>
  <si>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</si>
  <si>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</si>
  <si>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</si>
  <si>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</si>
  <si>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</si>
  <si>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</si>
  <si>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</si>
  <si>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</si>
  <si>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</si>
  <si>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</si>
  <si>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</si>
  <si>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</si>
  <si>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</si>
  <si>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</si>
  <si>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</si>
  <si>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</si>
  <si>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</si>
  <si>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</si>
  <si>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</si>
  <si>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</si>
  <si>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</si>
  <si>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</si>
  <si>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</si>
  <si>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</si>
  <si>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</si>
  <si>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</si>
  <si>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</si>
  <si>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</si>
  <si>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</si>
  <si>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</si>
  <si>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</si>
  <si>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</si>
  <si>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</si>
  <si>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</si>
  <si>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</si>
  <si>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</si>
  <si>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</si>
  <si>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</si>
  <si>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</si>
  <si>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</si>
  <si>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</si>
  <si>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</si>
  <si>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</si>
  <si>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</si>
  <si>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</si>
  <si>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</si>
  <si>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</si>
  <si>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</si>
  <si>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</si>
  <si>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</si>
  <si>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</si>
  <si>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</si>
  <si>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</si>
  <si>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</si>
  <si>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</si>
  <si>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</si>
  <si>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</si>
  <si>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</si>
  <si>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</si>
  <si>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</si>
  <si>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</si>
  <si>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</si>
  <si>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</si>
  <si>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</si>
  <si>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</si>
  <si>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</si>
  <si>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</si>
  <si>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</si>
  <si>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</si>
  <si>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</si>
  <si>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</si>
  <si>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</si>
  <si>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</si>
  <si>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</si>
  <si>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</si>
  <si>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</si>
  <si>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</si>
  <si>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</si>
  <si>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</si>
  <si>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</si>
  <si>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</si>
  <si>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</si>
  <si>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</si>
  <si>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</si>
  <si>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</si>
  <si>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</si>
  <si>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</si>
  <si>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</si>
  <si>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</si>
  <si>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</si>
  <si>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</si>
  <si>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</si>
  <si>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</si>
  <si>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</si>
  <si>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</si>
  <si>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</si>
  <si>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</si>
  <si>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</si>
  <si>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</si>
  <si>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</si>
  <si>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</si>
  <si>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</si>
  <si>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</si>
  <si>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</si>
  <si>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</si>
  <si>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</si>
  <si>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</si>
  <si>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</si>
  <si>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</si>
  <si>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</si>
  <si>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</si>
  <si>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</si>
  <si>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</si>
  <si>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</si>
  <si>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</si>
  <si>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</si>
  <si>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</si>
  <si>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</si>
  <si>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</si>
  <si>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</si>
  <si>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</si>
  <si>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</si>
  <si>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</si>
  <si>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</si>
  <si>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</si>
  <si>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</si>
  <si>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</si>
  <si>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</si>
  <si>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</si>
  <si>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</si>
  <si>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</si>
  <si>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</si>
  <si>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</si>
  <si>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</si>
  <si>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</si>
  <si>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</si>
  <si>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</si>
  <si>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</si>
  <si>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</si>
  <si>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</si>
  <si>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</si>
  <si>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</si>
  <si>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</si>
  <si>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</si>
  <si>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</si>
  <si>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</si>
  <si>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</si>
  <si>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</si>
  <si>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</si>
  <si>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</si>
  <si>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</si>
  <si>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</si>
  <si>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</si>
  <si>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</si>
  <si>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</si>
  <si>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</si>
  <si>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</si>
  <si>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</si>
  <si>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</si>
  <si>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</si>
  <si>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</si>
  <si>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</si>
  <si>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</si>
  <si>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</si>
  <si>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</si>
  <si>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</si>
  <si>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</si>
  <si>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</si>
  <si>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</si>
  <si>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</si>
  <si>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</si>
  <si>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</si>
  <si>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</si>
  <si>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</si>
  <si>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</si>
  <si>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</si>
  <si>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</si>
  <si>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</si>
  <si>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</si>
  <si>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</si>
  <si>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</si>
  <si>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</si>
  <si>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</si>
  <si>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</si>
  <si>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</si>
  <si>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</si>
  <si>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</si>
  <si>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</si>
  <si>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</si>
  <si>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</si>
  <si>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</si>
  <si>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</si>
  <si>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</si>
  <si>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</si>
  <si>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</si>
  <si>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</si>
  <si>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</si>
  <si>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</si>
  <si>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</si>
  <si>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</si>
  <si>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</si>
  <si>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</si>
  <si>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</si>
  <si>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</si>
  <si>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</si>
  <si>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</si>
  <si>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</si>
  <si>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</si>
  <si>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</si>
  <si>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</si>
  <si>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</si>
  <si>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</si>
  <si>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</si>
  <si>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</si>
  <si>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</si>
  <si>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</si>
  <si>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</si>
  <si>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</si>
  <si>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</si>
  <si>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</si>
  <si>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</si>
  <si>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</si>
  <si>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</si>
  <si>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</si>
  <si>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</si>
  <si>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</si>
  <si>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</si>
  <si>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</si>
  <si>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</si>
  <si>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</si>
  <si>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</si>
  <si>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</si>
  <si>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</si>
  <si>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</si>
  <si>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</si>
  <si>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</si>
  <si>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</si>
  <si>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</si>
  <si>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</si>
  <si>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</si>
  <si>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</si>
  <si>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</si>
  <si>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</si>
  <si>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</si>
  <si>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</si>
  <si>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</si>
  <si>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</si>
  <si>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</si>
  <si>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</si>
  <si>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</si>
  <si>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</si>
  <si>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</si>
  <si>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</si>
  <si>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</si>
  <si>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</si>
  <si>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</si>
  <si>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</si>
  <si>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</si>
  <si>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</si>
  <si>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</si>
  <si>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</si>
  <si>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</si>
  <si>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</si>
  <si>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</si>
  <si>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</si>
  <si>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</si>
  <si>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</si>
  <si>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</si>
  <si>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</si>
  <si>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</si>
  <si>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</si>
  <si>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</si>
  <si>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</si>
  <si>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</si>
  <si>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</si>
  <si>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</si>
  <si>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</si>
  <si>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</si>
  <si>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</si>
  <si>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</si>
  <si>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</si>
  <si>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</si>
  <si>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</si>
  <si>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</si>
  <si>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</si>
  <si>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</si>
  <si>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</si>
  <si>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</si>
  <si>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</si>
  <si>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</si>
  <si>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</si>
  <si>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</si>
  <si>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</si>
  <si>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</si>
  <si>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</si>
  <si>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</si>
  <si>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</si>
  <si>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</si>
  <si>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</si>
  <si>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</si>
  <si>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</si>
  <si>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</si>
  <si>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</si>
  <si>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</si>
  <si>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</si>
  <si>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</si>
  <si>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</si>
  <si>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</si>
  <si>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</si>
  <si>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</si>
  <si>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</si>
  <si>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</si>
  <si>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</si>
  <si>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</si>
  <si>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</si>
  <si>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</si>
  <si>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</si>
  <si>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</si>
  <si>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</si>
  <si>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</si>
  <si>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</si>
  <si>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</si>
  <si>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</si>
  <si>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</si>
  <si>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</si>
  <si>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</si>
  <si>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</si>
  <si>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</si>
  <si>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</si>
  <si>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</si>
  <si>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</si>
  <si>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</si>
  <si>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</si>
  <si>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</si>
  <si>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</si>
  <si>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</si>
  <si>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</si>
  <si>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</si>
  <si>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</si>
  <si>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</si>
  <si>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</si>
  <si>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</si>
  <si>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</si>
  <si>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</si>
  <si>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</si>
  <si>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</si>
  <si>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</si>
  <si>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</si>
  <si>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</si>
  <si>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</si>
  <si>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</si>
  <si>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</si>
  <si>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</si>
  <si>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</si>
  <si>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</si>
  <si>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</si>
  <si>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</si>
  <si>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</si>
  <si>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</si>
  <si>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</si>
  <si>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</si>
  <si>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</si>
  <si>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</si>
  <si>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</si>
  <si>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</si>
  <si>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</si>
  <si>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</si>
  <si>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</si>
  <si>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</si>
  <si>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</si>
  <si>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</si>
  <si>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</si>
  <si>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</si>
  <si>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</si>
  <si>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</si>
  <si>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</si>
  <si>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</si>
  <si>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</si>
  <si>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</si>
  <si>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</si>
  <si>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</si>
  <si>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</si>
  <si>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</si>
  <si>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</si>
  <si>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</si>
  <si>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</si>
  <si>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</si>
  <si>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</si>
  <si>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</si>
  <si>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</si>
  <si>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</si>
  <si>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</si>
  <si>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</si>
  <si>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</si>
  <si>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</si>
  <si>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</si>
  <si>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</si>
  <si>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</si>
  <si>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</si>
  <si>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</si>
  <si>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</si>
  <si>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</si>
  <si>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</si>
  <si>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</si>
  <si>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</si>
  <si>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</si>
  <si>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</si>
  <si>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</si>
  <si>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</si>
  <si>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</si>
  <si>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</si>
  <si>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</si>
  <si>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</si>
  <si>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</si>
  <si>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</si>
  <si>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</si>
  <si>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</si>
  <si>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</si>
  <si>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</si>
  <si>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</si>
  <si>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</si>
  <si>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</si>
  <si>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</si>
  <si>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</si>
  <si>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</si>
  <si>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</si>
  <si>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</si>
  <si>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</si>
  <si>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</si>
  <si>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</si>
  <si>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</si>
  <si>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</si>
  <si>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</si>
  <si>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</si>
  <si>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</si>
  <si>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</si>
  <si>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</si>
  <si>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</si>
  <si>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</si>
  <si>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</si>
  <si>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</si>
  <si>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</si>
  <si>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</si>
  <si>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</si>
  <si>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</si>
  <si>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</si>
  <si>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</si>
  <si>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</si>
  <si>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</si>
  <si>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</si>
  <si>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</si>
  <si>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</si>
  <si>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</si>
  <si>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</si>
  <si>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</si>
  <si>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</si>
  <si>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</si>
  <si>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</si>
  <si>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</si>
  <si>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</si>
  <si>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</si>
  <si>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</si>
  <si>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</si>
  <si>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</si>
  <si>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</si>
  <si>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</si>
  <si>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</si>
  <si>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</si>
  <si>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</si>
  <si>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</si>
  <si>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</si>
  <si>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</si>
  <si>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</si>
  <si>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</si>
  <si>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</si>
  <si>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</si>
  <si>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</si>
  <si>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</si>
  <si>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</si>
  <si>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</si>
  <si>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</si>
  <si>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</si>
  <si>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</si>
  <si>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</si>
  <si>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</si>
  <si>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</si>
  <si>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</si>
  <si>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</si>
  <si>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</si>
  <si>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</si>
  <si>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</si>
  <si>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</si>
  <si>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</si>
  <si>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</si>
  <si>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</si>
  <si>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</si>
  <si>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</si>
  <si>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</si>
  <si>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</si>
  <si>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</si>
  <si>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</si>
  <si>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</si>
  <si>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</si>
  <si>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</si>
  <si>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</si>
  <si>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</si>
  <si>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</si>
  <si>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</si>
  <si>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</si>
  <si>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</si>
  <si>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</si>
  <si>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</si>
  <si>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</si>
  <si>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</si>
  <si>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</si>
  <si>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</si>
  <si>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</si>
  <si>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</si>
  <si>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</si>
  <si>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</si>
  <si>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</si>
  <si>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</si>
  <si>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</si>
  <si>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</si>
  <si>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</si>
  <si>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</si>
  <si>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</si>
  <si>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</si>
  <si>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</si>
  <si>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</si>
  <si>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</si>
  <si>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</si>
  <si>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</si>
  <si>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</si>
  <si>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</si>
  <si>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</si>
  <si>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</si>
  <si>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</si>
  <si>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</si>
  <si>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</si>
  <si>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</si>
  <si>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</si>
  <si>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</si>
  <si>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</si>
  <si>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</si>
  <si>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</si>
  <si>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</si>
  <si>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</si>
  <si>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</si>
  <si>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</si>
  <si>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</si>
  <si>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</si>
  <si>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</si>
  <si>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</si>
  <si>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</si>
  <si>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</si>
  <si>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</si>
  <si>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</si>
  <si>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</si>
  <si>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</si>
  <si>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</si>
  <si>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</si>
  <si>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</si>
  <si>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</si>
  <si>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</si>
  <si>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</si>
  <si>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</si>
  <si>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</si>
  <si>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</si>
  <si>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</si>
  <si>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</si>
  <si>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</si>
  <si>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</si>
  <si>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</si>
  <si>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</si>
  <si>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</si>
  <si>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</si>
  <si>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</si>
  <si>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</si>
  <si>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</si>
  <si>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</si>
  <si>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</si>
  <si>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</si>
  <si>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</si>
  <si>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</si>
  <si>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</si>
  <si>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</si>
  <si>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</si>
  <si>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</si>
  <si>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</si>
  <si>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</si>
  <si>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</si>
  <si>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</si>
  <si>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</si>
  <si>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</si>
  <si>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</si>
  <si>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</si>
  <si>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</si>
  <si>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</si>
  <si>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</si>
  <si>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</si>
  <si>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</si>
  <si>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</si>
  <si>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</si>
  <si>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</si>
  <si>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</si>
  <si>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</si>
  <si>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</si>
  <si>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</si>
  <si>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</si>
  <si>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</si>
  <si>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</si>
  <si>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</si>
  <si>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</si>
  <si>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</si>
  <si>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</si>
  <si>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</si>
  <si>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</si>
  <si>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</si>
  <si>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</si>
  <si>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</si>
  <si>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</si>
  <si>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</si>
  <si>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</si>
  <si>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</si>
  <si>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</si>
  <si>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</si>
  <si>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</si>
  <si>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</si>
  <si>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</si>
  <si>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</si>
  <si>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</si>
  <si>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</si>
  <si>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</si>
  <si>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</si>
  <si>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</si>
  <si>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</si>
  <si>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</si>
  <si>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</si>
  <si>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</si>
  <si>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</si>
  <si>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</si>
  <si>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</si>
  <si>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</si>
  <si>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</si>
  <si>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</si>
  <si>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</si>
  <si>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</si>
  <si>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</si>
  <si>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</si>
  <si>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</si>
  <si>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</si>
  <si>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</si>
  <si>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</si>
  <si>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</si>
  <si>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</si>
  <si>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</si>
  <si>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</si>
  <si>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</si>
  <si>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</si>
  <si>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</si>
  <si>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</si>
  <si>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</si>
  <si>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</si>
  <si>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</si>
  <si>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</si>
  <si>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</si>
  <si>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</si>
  <si>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</si>
  <si>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</si>
  <si>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</si>
  <si>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</si>
  <si>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</si>
  <si>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</si>
  <si>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</si>
  <si>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</si>
  <si>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</si>
  <si>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</si>
  <si>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</si>
  <si>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</si>
  <si>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</si>
  <si>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</si>
  <si>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</si>
  <si>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</si>
  <si>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</si>
  <si>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</si>
  <si>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</si>
  <si>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</si>
  <si>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</si>
  <si>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</si>
  <si>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</si>
  <si>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</si>
  <si>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</si>
  <si>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</si>
  <si>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</si>
  <si>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</si>
  <si>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</si>
  <si>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</si>
  <si>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</si>
  <si>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</si>
  <si>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</si>
  <si>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</si>
  <si>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</si>
  <si>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</si>
  <si>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</si>
  <si>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</si>
  <si>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</si>
  <si>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</si>
  <si>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</si>
  <si>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</si>
  <si>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</si>
  <si>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</si>
  <si>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</si>
  <si>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</si>
  <si>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</si>
  <si>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</si>
  <si>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</si>
  <si>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</si>
  <si>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</si>
  <si>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</si>
  <si>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</si>
  <si>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</si>
  <si>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</si>
  <si>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</si>
  <si>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</si>
  <si>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</si>
  <si>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</si>
  <si>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</si>
  <si>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</si>
  <si>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</si>
  <si>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</si>
  <si>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</si>
  <si>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</si>
  <si>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</si>
  <si>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</si>
  <si>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</si>
  <si>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</si>
  <si>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</si>
  <si>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</si>
  <si>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</si>
  <si>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</si>
  <si>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</si>
  <si>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</si>
  <si>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</si>
  <si>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</si>
  <si>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</si>
  <si>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</si>
  <si>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</si>
  <si>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</si>
  <si>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</si>
  <si>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</si>
  <si>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</si>
  <si>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</si>
  <si>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</si>
  <si>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</si>
  <si>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</si>
  <si>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</si>
  <si>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</si>
  <si>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</si>
  <si>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</si>
  <si>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</si>
  <si>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</si>
  <si>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</si>
  <si>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</si>
  <si>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</si>
  <si>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</si>
  <si>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</si>
  <si>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</si>
  <si>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</si>
  <si>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</si>
  <si>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</si>
  <si>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</si>
  <si>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</si>
  <si>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</si>
  <si>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</si>
  <si>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</si>
  <si>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</si>
  <si>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</si>
  <si>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</si>
  <si>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</si>
  <si>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</si>
  <si>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</si>
  <si>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</si>
  <si>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</si>
  <si>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</si>
  <si>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</si>
  <si>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</si>
  <si>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</si>
  <si>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</si>
  <si>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</si>
  <si>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</si>
  <si>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</si>
  <si>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</si>
  <si>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</si>
  <si>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</si>
  <si>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</si>
  <si>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</si>
  <si>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</si>
  <si>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</si>
  <si>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</si>
  <si>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</si>
  <si>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</si>
  <si>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</si>
  <si>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</si>
  <si>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</si>
  <si>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</si>
  <si>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</si>
  <si>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</si>
  <si>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</si>
  <si>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</si>
  <si>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</si>
  <si>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</si>
  <si>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</si>
  <si>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</si>
  <si>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</si>
  <si>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</si>
  <si>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</si>
  <si>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</si>
  <si>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</si>
  <si>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</si>
  <si>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</si>
  <si>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</si>
  <si>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</si>
  <si>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</si>
  <si>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</si>
  <si>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</si>
  <si>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</si>
  <si>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</si>
  <si>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</si>
  <si>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</si>
  <si>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</si>
  <si>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</si>
  <si>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</si>
  <si>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</si>
  <si>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</si>
  <si>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</si>
  <si>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</si>
  <si>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</si>
  <si>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</si>
  <si>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</si>
  <si>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</si>
  <si>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</si>
  <si>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</si>
  <si>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</si>
  <si>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</si>
  <si>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</si>
  <si>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</si>
  <si>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</si>
  <si>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</si>
  <si>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</si>
  <si>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</si>
  <si>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</si>
  <si>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</si>
  <si>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</si>
  <si>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</si>
  <si>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</si>
  <si>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</si>
  <si>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</si>
  <si>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</si>
  <si>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</si>
  <si>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</si>
  <si>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</si>
  <si>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</si>
  <si>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</si>
  <si>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</si>
  <si>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</si>
  <si>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</si>
  <si>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</si>
  <si>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</si>
  <si>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</si>
  <si>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</si>
  <si>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</si>
  <si>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</si>
  <si>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</si>
  <si>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</si>
  <si>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</si>
  <si>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</si>
  <si>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</si>
  <si>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</si>
  <si>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</si>
  <si>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</si>
  <si>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</si>
  <si>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</si>
  <si>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</si>
  <si>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</si>
  <si>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</si>
  <si>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</si>
  <si>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</si>
  <si>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</si>
  <si>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</si>
  <si>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</si>
  <si>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</si>
  <si>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</si>
  <si>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</si>
  <si>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</si>
  <si>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</si>
  <si>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</si>
  <si>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</si>
  <si>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</si>
  <si>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</si>
  <si>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</si>
  <si>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</si>
  <si>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</si>
  <si>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</si>
  <si>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</si>
  <si>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</si>
  <si>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</si>
  <si>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</si>
  <si>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</si>
  <si>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</si>
  <si>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</si>
  <si>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</si>
  <si>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</si>
  <si>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</si>
  <si>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</si>
  <si>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</si>
  <si>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</si>
  <si>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</si>
  <si>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</si>
  <si>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</si>
  <si>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</si>
  <si>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</si>
  <si>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</si>
  <si>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</si>
  <si>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</si>
  <si>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</si>
  <si>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</si>
  <si>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</si>
  <si>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</si>
  <si>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</si>
  <si>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</si>
  <si>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</si>
  <si>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</si>
  <si>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</si>
  <si>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</si>
  <si>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</si>
  <si>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</si>
  <si>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</si>
  <si>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</si>
  <si>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</si>
  <si>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</si>
  <si>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</si>
  <si>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</si>
  <si>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</si>
  <si>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</si>
  <si>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</si>
  <si>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</si>
  <si>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</si>
  <si>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</si>
  <si>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</si>
  <si>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</si>
  <si>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</si>
  <si>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</si>
  <si>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</si>
  <si>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</si>
  <si>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</si>
  <si>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</si>
  <si>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</si>
  <si>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</si>
  <si>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</si>
  <si>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</si>
  <si>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</si>
  <si>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</si>
  <si>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</si>
  <si>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</si>
  <si>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</si>
  <si>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</si>
  <si>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</si>
  <si>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</si>
  <si>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</si>
  <si>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</si>
  <si>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</si>
  <si>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</si>
  <si>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</si>
  <si>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</si>
  <si>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</si>
  <si>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</si>
  <si>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</si>
  <si>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</si>
  <si>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</si>
  <si>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</si>
  <si>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</si>
  <si>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</si>
  <si>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</si>
  <si>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</si>
  <si>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</si>
  <si>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</si>
  <si>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</si>
  <si>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</si>
  <si>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</si>
  <si>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</si>
  <si>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</si>
  <si>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</si>
  <si>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</si>
  <si>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</si>
  <si>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</si>
  <si>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</si>
  <si>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</si>
  <si>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</si>
  <si>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</si>
  <si>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</si>
  <si>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</si>
  <si>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</si>
  <si>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</si>
  <si>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</si>
  <si>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</si>
  <si>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</si>
  <si>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</si>
  <si>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</si>
  <si>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</si>
  <si>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</si>
  <si>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</si>
  <si>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</si>
  <si>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</si>
  <si>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</si>
  <si>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</si>
  <si>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</si>
  <si>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</si>
  <si>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</si>
  <si>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</si>
  <si>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</si>
  <si>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</si>
  <si>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</si>
  <si>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</si>
  <si>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</si>
  <si>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</si>
  <si>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</si>
  <si>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</si>
  <si>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</si>
  <si>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</si>
  <si>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</si>
  <si>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</si>
  <si>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</si>
  <si>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</si>
  <si>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</si>
  <si>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</si>
  <si>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</si>
  <si>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</si>
  <si>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</si>
  <si>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</si>
  <si>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</si>
  <si>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</si>
  <si>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</si>
  <si>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</si>
  <si>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</si>
  <si>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</si>
  <si>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</si>
  <si>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</si>
  <si>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</si>
  <si>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</si>
  <si>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</si>
  <si>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</si>
  <si>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</si>
  <si>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</si>
  <si>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</si>
  <si>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</si>
  <si>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</si>
  <si>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</si>
  <si>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</si>
  <si>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</si>
  <si>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</si>
  <si>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</si>
  <si>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</si>
  <si>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</si>
  <si>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</si>
  <si>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</si>
  <si>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</si>
  <si>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</si>
  <si>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</si>
  <si>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</si>
  <si>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</si>
  <si>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</si>
  <si>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</si>
  <si>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</si>
  <si>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</si>
  <si>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</si>
  <si>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</si>
  <si>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</si>
  <si>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</si>
  <si>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</si>
  <si>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</si>
  <si>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</si>
  <si>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</si>
  <si>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</si>
  <si>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</si>
  <si>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</si>
  <si>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</si>
  <si>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</si>
  <si>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</si>
  <si>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</si>
  <si>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</si>
  <si>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</si>
  <si>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</si>
  <si>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</si>
  <si>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</si>
  <si>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</si>
  <si>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</si>
  <si>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</si>
  <si>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</si>
  <si>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</si>
  <si>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</si>
  <si>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</si>
  <si>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</si>
  <si>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</si>
  <si>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</si>
  <si>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</si>
  <si>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</si>
  <si>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</si>
  <si>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</si>
  <si>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</si>
  <si>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</si>
  <si>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</si>
  <si>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</si>
  <si>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</si>
  <si>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</si>
  <si>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</si>
  <si>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</si>
  <si>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</si>
  <si>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</si>
  <si>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</si>
  <si>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</si>
  <si>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</si>
  <si>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</si>
  <si>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</si>
  <si>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</si>
  <si>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</si>
  <si>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</si>
  <si>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</si>
  <si>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</si>
  <si>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</si>
  <si>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</si>
  <si>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</si>
  <si>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</si>
  <si>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</si>
  <si>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</si>
  <si>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</si>
  <si>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</si>
  <si>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</si>
  <si>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</si>
  <si>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</si>
  <si>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</si>
  <si>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</si>
  <si>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</si>
  <si>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</si>
  <si>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</si>
  <si>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</si>
  <si>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</si>
  <si>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</si>
  <si>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</si>
  <si>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</si>
  <si>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</si>
  <si>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</si>
  <si>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</si>
  <si>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</si>
  <si>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</si>
  <si>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</si>
  <si>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</si>
  <si>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</si>
  <si>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</si>
  <si>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</si>
  <si>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</si>
  <si>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</si>
  <si>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</si>
  <si>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</si>
  <si>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</si>
  <si>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</si>
  <si>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</si>
  <si>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</si>
  <si>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</si>
  <si>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</si>
  <si>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</si>
  <si>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</si>
  <si>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</si>
  <si>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</si>
  <si>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</si>
  <si>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</si>
  <si>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</si>
  <si>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</si>
  <si>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</si>
  <si>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</si>
  <si>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</si>
  <si>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</si>
  <si>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</si>
  <si>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</si>
  <si>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</si>
  <si>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</si>
  <si>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</si>
  <si>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</si>
  <si>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</si>
  <si>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</si>
  <si>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</si>
  <si>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</si>
  <si>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</si>
  <si>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</si>
  <si>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</si>
  <si>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</si>
  <si>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</si>
  <si>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</si>
  <si>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</si>
  <si>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</si>
  <si>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</si>
  <si>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</si>
  <si>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</si>
  <si>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</si>
  <si>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</si>
  <si>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</si>
  <si>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</si>
  <si>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</si>
  <si>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</si>
  <si>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</si>
  <si>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</si>
  <si>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</si>
  <si>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</si>
  <si>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</si>
  <si>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</si>
  <si>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</si>
  <si>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</si>
  <si>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</si>
  <si>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</si>
  <si>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</si>
  <si>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</si>
  <si>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</si>
  <si>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</si>
  <si>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</si>
  <si>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</si>
  <si>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</si>
  <si>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</si>
  <si>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</si>
  <si>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</si>
  <si>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</si>
  <si>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</si>
  <si>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</si>
  <si>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</si>
  <si>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</si>
  <si>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</si>
  <si>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</si>
  <si>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</si>
  <si>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</si>
  <si>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</si>
  <si>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</si>
  <si>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</si>
  <si>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</si>
  <si>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</si>
  <si>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</si>
  <si>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</si>
  <si>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</si>
  <si>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</si>
  <si>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</si>
  <si>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</si>
  <si>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</si>
  <si>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</si>
  <si>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</si>
  <si>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</si>
  <si>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</si>
  <si>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</si>
  <si>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</si>
  <si>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</si>
  <si>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</si>
  <si>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</si>
  <si>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</si>
  <si>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</si>
  <si>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</si>
  <si>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</si>
  <si>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</si>
  <si>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</si>
  <si>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</si>
  <si>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</si>
  <si>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</si>
  <si>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</si>
  <si>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</si>
  <si>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</si>
  <si>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</si>
  <si>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</si>
  <si>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</si>
  <si>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</si>
  <si>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</si>
  <si>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</si>
  <si>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</si>
  <si>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</si>
  <si>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</si>
  <si>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</si>
  <si>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</si>
  <si>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</si>
  <si>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</si>
  <si>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</si>
  <si>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</si>
  <si>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</si>
  <si>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</si>
  <si>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</si>
  <si>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</si>
  <si>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</si>
  <si>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</si>
  <si>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</si>
  <si>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</si>
  <si>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</si>
  <si>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</si>
  <si>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</si>
  <si>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</si>
  <si>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</si>
  <si>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</si>
  <si>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</si>
  <si>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</si>
  <si>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</si>
  <si>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</si>
  <si>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</si>
  <si>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</si>
  <si>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</si>
  <si>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</si>
  <si>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</si>
  <si>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</si>
  <si>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</si>
  <si>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</si>
  <si>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</si>
  <si>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</si>
  <si>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</si>
  <si>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</si>
  <si>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</si>
  <si>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</si>
  <si>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</si>
  <si>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</si>
  <si>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</si>
  <si>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</si>
  <si>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</si>
  <si>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</si>
  <si>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</si>
  <si>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</si>
  <si>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</si>
  <si>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</si>
  <si>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</si>
  <si>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</si>
  <si>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</si>
  <si>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</si>
  <si>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</si>
  <si>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</si>
  <si>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</si>
  <si>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</si>
  <si>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</si>
  <si>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</si>
  <si>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</si>
  <si>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</si>
  <si>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</si>
  <si>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</si>
  <si>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</si>
  <si>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</si>
  <si>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</si>
  <si>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</si>
  <si>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</si>
  <si>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</si>
  <si>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</si>
  <si>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</si>
  <si>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</si>
  <si>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</si>
  <si>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</si>
  <si>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</si>
  <si>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</si>
  <si>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</si>
  <si>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</si>
  <si>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</si>
  <si>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</si>
  <si>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</si>
  <si>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</si>
  <si>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</si>
  <si>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</si>
  <si>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</si>
  <si>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</si>
  <si>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</si>
  <si>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</si>
  <si>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</si>
  <si>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</si>
  <si>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</si>
  <si>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</si>
  <si>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</si>
  <si>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</si>
  <si>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</si>
  <si>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</si>
  <si>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</si>
  <si>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</si>
  <si>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</si>
  <si>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</si>
  <si>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</si>
  <si>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</si>
  <si>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</si>
  <si>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</si>
  <si>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</si>
  <si>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</si>
  <si>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</si>
  <si>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</si>
  <si>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</si>
  <si>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</si>
  <si>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</si>
  <si>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</si>
  <si>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</si>
  <si>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</si>
  <si>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</si>
  <si>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</si>
  <si>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</si>
  <si>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</si>
  <si>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</si>
  <si>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</si>
  <si>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</si>
  <si>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</si>
  <si>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</si>
  <si>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</si>
  <si>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</si>
  <si>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</si>
  <si>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</si>
  <si>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</si>
  <si>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</si>
  <si>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</si>
  <si>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</si>
  <si>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</si>
  <si>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</si>
  <si>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</si>
  <si>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</si>
  <si>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</si>
  <si>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</si>
  <si>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</si>
  <si>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</si>
  <si>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</si>
  <si>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</si>
  <si>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</si>
  <si>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</si>
  <si>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</si>
  <si>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</si>
  <si>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</si>
  <si>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</si>
  <si>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</si>
  <si>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</si>
  <si>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</si>
  <si>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</si>
  <si>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</si>
  <si>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</si>
  <si>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</si>
  <si>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</si>
  <si>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</si>
  <si>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</si>
  <si>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</si>
  <si>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</si>
  <si>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</si>
  <si>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</si>
  <si>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</si>
  <si>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</si>
  <si>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</si>
  <si>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</si>
  <si>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</si>
  <si>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</si>
  <si>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</si>
  <si>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</si>
  <si>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</si>
  <si>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</si>
  <si>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</si>
  <si>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</si>
  <si>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</si>
  <si>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</si>
  <si>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</si>
  <si>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</si>
  <si>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</si>
  <si>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</si>
  <si>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</si>
  <si>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</si>
  <si>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</si>
  <si>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</si>
  <si>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</si>
  <si>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</si>
  <si>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</si>
  <si>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</si>
  <si>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</si>
  <si>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</si>
  <si>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</si>
  <si>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</si>
  <si>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</si>
  <si>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</si>
  <si>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</si>
  <si>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</si>
  <si>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</si>
  <si>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</si>
  <si>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</si>
  <si>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</si>
  <si>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</si>
  <si>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</si>
  <si>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</si>
  <si>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</si>
  <si>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</si>
  <si>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</si>
  <si>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</si>
  <si>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</si>
  <si>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</si>
  <si>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</si>
  <si>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</si>
  <si>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</si>
  <si>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</si>
  <si>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</si>
  <si>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</si>
  <si>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</si>
  <si>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</si>
  <si>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</si>
  <si>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</si>
  <si>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</si>
  <si>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</si>
  <si>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</si>
  <si>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</si>
  <si>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</si>
  <si>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</si>
  <si>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</si>
  <si>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</si>
  <si>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</si>
  <si>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</si>
  <si>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</si>
  <si>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</si>
  <si>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</si>
  <si>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</si>
  <si>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</si>
  <si>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</si>
  <si>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</si>
  <si>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</si>
  <si>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</si>
  <si>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</si>
  <si>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</si>
  <si>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</si>
  <si>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</si>
  <si>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</si>
  <si>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</si>
  <si>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</si>
  <si>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</si>
  <si>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</si>
  <si>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</si>
  <si>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</si>
  <si>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</si>
  <si>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</si>
  <si>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</si>
  <si>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</si>
  <si>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</si>
  <si>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</si>
  <si>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</si>
  <si>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</si>
  <si>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</si>
  <si>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</si>
  <si>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</si>
  <si>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</si>
  <si>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</si>
  <si>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</si>
  <si>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</si>
  <si>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</si>
  <si>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</si>
  <si>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</si>
  <si>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</si>
  <si>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</si>
  <si>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</si>
  <si>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</si>
  <si>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</si>
  <si>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</si>
  <si>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</si>
  <si>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</si>
  <si>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</si>
  <si>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</si>
  <si>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</si>
  <si>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</si>
  <si>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</si>
  <si>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</si>
  <si>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</si>
  <si>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</si>
  <si>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</si>
  <si>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</si>
  <si>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</si>
  <si>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</si>
  <si>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</si>
  <si>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</si>
  <si>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</si>
  <si>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</si>
  <si>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</si>
  <si>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</si>
  <si>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</si>
  <si>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</si>
  <si>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</si>
  <si>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</si>
  <si>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</si>
  <si>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</si>
  <si>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</si>
  <si>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</si>
  <si>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</si>
  <si>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</si>
  <si>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</si>
  <si>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</si>
  <si>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</si>
  <si>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</si>
  <si>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</si>
  <si>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</si>
  <si>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</si>
  <si>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</si>
  <si>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</si>
  <si>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</si>
  <si>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</si>
  <si>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</si>
  <si>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</si>
  <si>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</si>
  <si>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</si>
  <si>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</si>
  <si>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</si>
  <si>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</si>
  <si>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</si>
  <si>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</si>
  <si>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</si>
  <si>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</si>
  <si>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</si>
  <si>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</si>
  <si>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</si>
  <si>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</si>
  <si>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</si>
  <si>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</si>
  <si>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</si>
  <si>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</si>
  <si>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</si>
  <si>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</si>
  <si>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</si>
  <si>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</si>
  <si>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</si>
  <si>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</si>
  <si>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</si>
  <si>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</si>
  <si>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</si>
  <si>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</si>
  <si>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</si>
  <si>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</si>
  <si>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</si>
  <si>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</si>
  <si>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</si>
  <si>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</si>
  <si>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</si>
  <si>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</si>
  <si>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</si>
  <si>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</si>
  <si>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</si>
  <si>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</si>
  <si>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</si>
  <si>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</si>
  <si>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</si>
  <si>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</si>
  <si>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</si>
  <si>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</si>
  <si>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</si>
  <si>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</si>
  <si>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</si>
  <si>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</si>
  <si>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</si>
  <si>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</si>
  <si>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</si>
  <si>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</si>
  <si>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</si>
  <si>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</si>
  <si>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</si>
  <si>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</si>
  <si>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</si>
  <si>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</si>
  <si>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</si>
  <si>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</si>
  <si>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</si>
  <si>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</si>
  <si>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</si>
  <si>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</si>
  <si>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</si>
  <si>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</si>
  <si>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</si>
  <si>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</si>
  <si>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</si>
  <si>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</si>
  <si>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</si>
  <si>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</si>
  <si>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</si>
  <si>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</si>
  <si>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</si>
  <si>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</si>
  <si>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</si>
  <si>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</si>
  <si>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</si>
  <si>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</si>
  <si>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</si>
  <si>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</si>
  <si>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</si>
  <si>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</si>
  <si>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</si>
  <si>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</si>
  <si>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</si>
  <si>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</si>
  <si>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</si>
  <si>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</si>
  <si>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</si>
  <si>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</si>
  <si>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</si>
  <si>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</si>
  <si>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</si>
  <si>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</si>
  <si>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</si>
  <si>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</si>
  <si>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</si>
  <si>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</si>
  <si>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</si>
  <si>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</si>
  <si>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</si>
  <si>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</si>
  <si>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</si>
  <si>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</si>
  <si>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</si>
  <si>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</si>
  <si>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</si>
  <si>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</si>
  <si>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</si>
  <si>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</si>
  <si>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</si>
  <si>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</si>
  <si>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</si>
  <si>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</si>
  <si>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</si>
  <si>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</si>
  <si>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</si>
  <si>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</si>
  <si>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</si>
  <si>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</si>
  <si>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</si>
  <si>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</si>
  <si>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</si>
  <si>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</si>
  <si>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</si>
  <si>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</si>
  <si>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</si>
  <si>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</si>
  <si>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</si>
  <si>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</si>
  <si>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</si>
  <si>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</si>
  <si>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</si>
  <si>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</si>
  <si>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</si>
  <si>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</si>
  <si>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</si>
  <si>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</si>
  <si>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</si>
  <si>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</si>
  <si>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</si>
  <si>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</si>
  <si>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</si>
  <si>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</si>
  <si>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</si>
  <si>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</si>
  <si>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</si>
  <si>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</si>
  <si>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</si>
  <si>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</si>
  <si>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</si>
  <si>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</si>
  <si>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</si>
  <si>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</si>
  <si>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</si>
  <si>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</si>
  <si>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</si>
  <si>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</si>
  <si>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</si>
  <si>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</si>
  <si>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</si>
  <si>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</si>
  <si>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</si>
  <si>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</si>
  <si>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</si>
  <si>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</si>
  <si>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</si>
  <si>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</si>
  <si>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</si>
  <si>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</si>
  <si>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</si>
  <si>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</si>
  <si>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</si>
  <si>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</si>
  <si>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</si>
  <si>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</si>
  <si>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</si>
  <si>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</si>
  <si>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</si>
  <si>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</si>
  <si>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</si>
  <si>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</si>
  <si>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</si>
  <si>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</si>
  <si>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</si>
  <si>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</si>
  <si>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</si>
  <si>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</si>
  <si>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</si>
  <si>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</si>
  <si>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</si>
  <si>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</si>
  <si>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</si>
  <si>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</si>
  <si>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</si>
  <si>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</si>
  <si>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</si>
  <si>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</si>
  <si>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</si>
  <si>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</si>
  <si>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</si>
  <si>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</si>
  <si>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</si>
  <si>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</si>
  <si>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</si>
  <si>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</si>
  <si>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</si>
  <si>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</si>
  <si>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</si>
  <si>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</si>
  <si>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</si>
  <si>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</si>
  <si>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</si>
  <si>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</si>
  <si>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</si>
  <si>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</si>
  <si>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</si>
  <si>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</si>
  <si>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</si>
  <si>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</si>
  <si>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</si>
  <si>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</si>
  <si>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</si>
  <si>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</si>
  <si>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</si>
  <si>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</si>
  <si>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</si>
  <si>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</si>
  <si>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</si>
  <si>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</si>
  <si>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</si>
  <si>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</si>
  <si>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</si>
  <si>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</si>
  <si>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</si>
  <si>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</si>
  <si>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</si>
  <si>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</si>
  <si>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</si>
  <si>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</si>
  <si>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</si>
  <si>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</si>
  <si>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</si>
  <si>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</si>
  <si>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</si>
  <si>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</si>
  <si>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</si>
  <si>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</si>
  <si>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</si>
  <si>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</si>
  <si>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</si>
  <si>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</si>
  <si>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</si>
  <si>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</si>
  <si>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</si>
  <si>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</si>
  <si>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</si>
  <si>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</si>
  <si>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</si>
  <si>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</si>
  <si>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</si>
  <si>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</si>
  <si>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</si>
  <si>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</si>
  <si>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</si>
  <si>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</si>
  <si>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</si>
  <si>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</si>
  <si>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</si>
  <si>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</si>
  <si>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</si>
  <si>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</si>
  <si>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</si>
  <si>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</si>
  <si>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</si>
  <si>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</si>
  <si>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</si>
  <si>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</si>
  <si>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</si>
  <si>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</si>
  <si>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</si>
  <si>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</si>
  <si>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</si>
  <si>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</si>
  <si>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</si>
  <si>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</si>
  <si>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</si>
  <si>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</si>
  <si>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</si>
  <si>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</si>
  <si>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</si>
  <si>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</si>
  <si>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</si>
  <si>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</si>
  <si>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</si>
  <si>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</si>
  <si>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</si>
  <si>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</si>
  <si>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</si>
  <si>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</si>
  <si>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</si>
  <si>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</si>
  <si>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</si>
  <si>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</si>
  <si>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</si>
  <si>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</si>
  <si>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</si>
  <si>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</si>
  <si>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</si>
  <si>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</si>
  <si>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</si>
  <si>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</si>
  <si>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</si>
  <si>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</si>
  <si>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</si>
  <si>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</si>
  <si>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</si>
  <si>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</si>
  <si>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</si>
  <si>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</si>
  <si>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</si>
  <si>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</si>
  <si>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</si>
  <si>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</si>
  <si>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</si>
  <si>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</si>
  <si>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</si>
  <si>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</si>
  <si>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</si>
  <si>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</si>
  <si>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</si>
  <si>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</si>
  <si>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</si>
  <si>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</si>
  <si>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</si>
  <si>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</si>
  <si>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</si>
  <si>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</si>
  <si>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</si>
  <si>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</si>
  <si>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</si>
  <si>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</si>
  <si>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</si>
  <si>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</si>
  <si>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</si>
  <si>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</si>
  <si>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</si>
  <si>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</si>
  <si>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</si>
  <si>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</si>
  <si>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</si>
  <si>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</si>
  <si>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</si>
  <si>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</si>
  <si>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</si>
  <si>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</si>
  <si>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</si>
  <si>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</si>
  <si>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</si>
  <si>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</si>
  <si>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</si>
  <si>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</si>
  <si>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</si>
  <si>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</si>
  <si>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</si>
  <si>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</si>
  <si>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</si>
  <si>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</si>
  <si>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</si>
  <si>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</si>
  <si>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</si>
  <si>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</si>
  <si>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</si>
  <si>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</si>
  <si>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</si>
  <si>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</si>
  <si>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</si>
  <si>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</si>
  <si>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</si>
  <si>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</si>
  <si>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</si>
  <si>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</si>
  <si>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</si>
  <si>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</si>
  <si>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</si>
  <si>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</si>
  <si>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</si>
  <si>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</si>
  <si>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</si>
  <si>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</si>
  <si>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</si>
  <si>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</si>
  <si>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</si>
  <si>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</si>
  <si>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</si>
  <si>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</si>
  <si>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</si>
  <si>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</si>
  <si>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</si>
  <si>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</si>
  <si>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</si>
  <si>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</si>
  <si>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</si>
  <si>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</si>
  <si>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</si>
  <si>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</si>
  <si>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</si>
  <si>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</si>
  <si>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</si>
  <si>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</si>
  <si>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</si>
  <si>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</si>
  <si>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</si>
  <si>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</si>
  <si>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</si>
  <si>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</si>
  <si>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</si>
  <si>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</si>
  <si>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</si>
  <si>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</si>
  <si>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</si>
  <si>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</si>
  <si>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</si>
  <si>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</si>
  <si>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</si>
  <si>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</si>
  <si>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</si>
  <si>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</si>
  <si>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</si>
  <si>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</si>
  <si>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</si>
  <si>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</si>
  <si>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</si>
  <si>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</si>
  <si>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</si>
  <si>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</si>
  <si>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</si>
  <si>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</si>
  <si>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</si>
  <si>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</si>
  <si>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</si>
  <si>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</si>
  <si>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</si>
  <si>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</si>
  <si>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</si>
  <si>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</si>
  <si>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</si>
  <si>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</si>
  <si>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</si>
  <si>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</si>
  <si>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</si>
  <si>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</si>
  <si>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</si>
  <si>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</si>
  <si>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</si>
  <si>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</si>
  <si>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</si>
  <si>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</si>
  <si>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</si>
  <si>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</si>
  <si>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</si>
  <si>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</si>
  <si>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</si>
  <si>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</si>
  <si>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</si>
  <si>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</si>
  <si>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</si>
  <si>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</si>
  <si>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</si>
  <si>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</si>
  <si>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</si>
  <si>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</si>
  <si>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</si>
  <si>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</si>
  <si>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</si>
  <si>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</si>
  <si>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</si>
  <si>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</si>
  <si>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</si>
  <si>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</si>
  <si>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</si>
  <si>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</si>
  <si>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</si>
  <si>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</si>
  <si>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</si>
  <si>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</si>
  <si>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</si>
  <si>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</si>
  <si>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</si>
  <si>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</si>
  <si>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</si>
  <si>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</si>
  <si>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</si>
  <si>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</si>
  <si>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</si>
  <si>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</si>
  <si>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</si>
  <si>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</si>
  <si>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</si>
  <si>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</si>
  <si>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</si>
  <si>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</si>
  <si>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</si>
  <si>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</si>
  <si>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</si>
  <si>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</si>
  <si>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</si>
  <si>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</si>
  <si>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</si>
  <si>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</si>
  <si>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</si>
  <si>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</si>
  <si>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</si>
  <si>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</si>
  <si>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</si>
  <si>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</si>
  <si>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</si>
  <si>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</si>
  <si>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</si>
  <si>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</si>
  <si>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</si>
  <si>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</si>
  <si>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</si>
  <si>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</si>
  <si>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</si>
  <si>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</si>
  <si>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</si>
  <si>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</si>
  <si>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</si>
  <si>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</si>
  <si>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</si>
  <si>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</si>
  <si>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</si>
  <si>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</si>
  <si>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</si>
  <si>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</si>
  <si>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</si>
  <si>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</si>
  <si>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</si>
  <si>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</si>
  <si>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</si>
  <si>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</si>
  <si>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</si>
  <si>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</si>
  <si>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</si>
  <si>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</si>
  <si>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</si>
  <si>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</si>
  <si>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</si>
  <si>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</si>
  <si>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</si>
  <si>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</si>
  <si>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</si>
  <si>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</si>
  <si>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</si>
  <si>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</si>
  <si>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</si>
  <si>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</si>
  <si>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</si>
  <si>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</si>
  <si>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</si>
  <si>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</si>
  <si>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</si>
  <si>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</si>
  <si>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</si>
  <si>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</si>
  <si>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</si>
  <si>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</si>
  <si>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</si>
  <si>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</si>
  <si>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</si>
  <si>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</si>
  <si>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</si>
  <si>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</si>
  <si>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</si>
  <si>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</si>
  <si>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</si>
  <si>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</si>
  <si>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</si>
  <si>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</si>
  <si>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</si>
  <si>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</si>
  <si>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</si>
  <si>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</si>
  <si>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</si>
  <si>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</si>
  <si>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</si>
  <si>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</si>
  <si>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</si>
  <si>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</si>
  <si>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</si>
  <si>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</si>
  <si>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</si>
  <si>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</si>
  <si>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</si>
  <si>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</si>
  <si>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</si>
  <si>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</si>
  <si>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</si>
  <si>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</si>
  <si>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</si>
  <si>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</si>
  <si>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</si>
  <si>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</si>
  <si>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</si>
  <si>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</si>
  <si>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</si>
  <si>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</si>
  <si>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</si>
  <si>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</si>
  <si>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</si>
  <si>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</si>
  <si>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</si>
  <si>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</si>
  <si>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</si>
  <si>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</si>
  <si>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</si>
  <si>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</si>
  <si>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</si>
  <si>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</si>
  <si>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</si>
  <si>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</si>
  <si>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</si>
  <si>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</si>
  <si>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</si>
  <si>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</si>
  <si>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</si>
  <si>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</si>
  <si>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</si>
  <si>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</si>
  <si>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</si>
  <si>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</si>
  <si>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</si>
  <si>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</si>
  <si>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</si>
  <si>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</si>
  <si>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</si>
  <si>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</si>
  <si>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</si>
  <si>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</si>
  <si>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</si>
  <si>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</si>
  <si>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</si>
  <si>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</si>
  <si>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</si>
  <si>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</si>
  <si>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</si>
  <si>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</si>
  <si>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</si>
  <si>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</si>
  <si>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</si>
  <si>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</si>
  <si>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</si>
  <si>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</si>
  <si>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</si>
  <si>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</si>
  <si>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</si>
  <si>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</si>
  <si>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</si>
  <si>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</si>
  <si>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</si>
  <si>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</si>
  <si>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</si>
  <si>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</si>
  <si>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</si>
  <si>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</si>
  <si>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</si>
  <si>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</si>
  <si>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</si>
  <si>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</si>
  <si>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</si>
  <si>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</si>
  <si>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</si>
  <si>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</si>
  <si>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</si>
  <si>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</si>
  <si>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</si>
  <si>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</si>
  <si>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</si>
  <si>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</si>
  <si>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</si>
  <si>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</si>
  <si>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</si>
  <si>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</si>
  <si>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</si>
  <si>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</si>
  <si>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</si>
  <si>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</si>
  <si>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</si>
  <si>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</si>
  <si>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</si>
  <si>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</si>
  <si>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</si>
  <si>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</si>
  <si>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</si>
  <si>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</si>
  <si>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</si>
  <si>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</si>
  <si>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</si>
  <si>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</si>
  <si>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</si>
  <si>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</si>
  <si>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</si>
  <si>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</si>
  <si>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</si>
  <si>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</si>
  <si>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</si>
  <si>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</si>
  <si>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</si>
  <si>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</si>
  <si>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</si>
  <si>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</si>
  <si>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</si>
  <si>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</si>
  <si>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</si>
  <si>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</si>
  <si>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</si>
  <si>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</si>
  <si>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</si>
  <si>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</si>
  <si>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</si>
  <si>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</si>
  <si>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</si>
  <si>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</si>
  <si>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</si>
  <si>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</si>
  <si>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</si>
  <si>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</si>
  <si>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</si>
  <si>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</si>
  <si>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</si>
  <si>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</si>
  <si>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</si>
  <si>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</si>
  <si>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</si>
  <si>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</si>
  <si>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</si>
  <si>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</si>
  <si>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</si>
  <si>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</si>
  <si>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</si>
  <si>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</si>
  <si>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</si>
  <si>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</si>
  <si>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</si>
  <si>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</si>
  <si>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</si>
  <si>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</si>
  <si>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</si>
  <si>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</si>
  <si>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</si>
  <si>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</si>
  <si>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</si>
  <si>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</si>
  <si>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</si>
  <si>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</si>
  <si>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</si>
  <si>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</si>
  <si>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</si>
  <si>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</si>
  <si>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</si>
  <si>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</si>
  <si>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</si>
  <si>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</si>
  <si>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</si>
  <si>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</si>
  <si>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</si>
  <si>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</si>
  <si>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</si>
  <si>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</si>
  <si>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</si>
  <si>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</si>
  <si>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</si>
  <si>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</si>
  <si>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</si>
  <si>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</si>
  <si>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</si>
  <si>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</si>
  <si>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</si>
  <si>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</si>
  <si>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</si>
  <si>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</si>
  <si>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</si>
  <si>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</si>
  <si>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</si>
  <si>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</si>
  <si>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</si>
  <si>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</si>
  <si>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</si>
  <si>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</si>
  <si>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</si>
  <si>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</si>
  <si>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</si>
  <si>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</si>
  <si>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</si>
  <si>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</si>
  <si>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</si>
  <si>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</si>
  <si>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</si>
  <si>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</si>
  <si>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</si>
  <si>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</si>
  <si>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</si>
  <si>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</si>
  <si>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</si>
  <si>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</si>
  <si>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</si>
  <si>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</si>
  <si>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</si>
  <si>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</si>
  <si>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</si>
  <si>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</si>
  <si>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</si>
  <si>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</si>
  <si>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</si>
  <si>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</si>
  <si>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</si>
  <si>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</si>
  <si>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</si>
  <si>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</si>
  <si>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</si>
  <si>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</si>
  <si>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</si>
  <si>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</si>
  <si>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</si>
  <si>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</si>
  <si>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</si>
  <si>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</si>
  <si>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</si>
  <si>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</si>
  <si>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</si>
  <si>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</si>
  <si>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</si>
  <si>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</si>
  <si>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</si>
  <si>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</si>
  <si>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</si>
  <si>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</si>
  <si>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</si>
  <si>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</si>
  <si>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</si>
  <si>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</si>
  <si>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</si>
  <si>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</si>
  <si>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</si>
  <si>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</si>
  <si>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</si>
  <si>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</si>
  <si>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</si>
  <si>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</si>
  <si>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</si>
  <si>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</si>
  <si>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</si>
  <si>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</si>
  <si>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</si>
  <si>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</si>
  <si>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</si>
  <si>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</si>
  <si>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</si>
  <si>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</si>
  <si>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</si>
  <si>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</si>
  <si>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</si>
  <si>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</si>
  <si>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</si>
  <si>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</si>
  <si>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</si>
  <si>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</si>
  <si>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</si>
  <si>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</si>
  <si>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</si>
  <si>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</si>
  <si>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</si>
  <si>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</si>
  <si>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</si>
  <si>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</si>
  <si>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</si>
  <si>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</si>
  <si>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</si>
  <si>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</si>
  <si>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</si>
  <si>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</si>
  <si>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</si>
  <si>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</si>
  <si>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</si>
  <si>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</si>
  <si>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</si>
  <si>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</si>
  <si>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</si>
  <si>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</si>
  <si>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</si>
  <si>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</si>
  <si>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</si>
  <si>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</si>
  <si>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</si>
  <si>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</si>
  <si>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</si>
  <si>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</si>
  <si>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</si>
  <si>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</si>
  <si>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</si>
  <si>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</si>
  <si>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</si>
  <si>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</si>
  <si>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</si>
  <si>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</si>
  <si>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</si>
  <si>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</si>
  <si>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</si>
  <si>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</si>
  <si>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</si>
  <si>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</si>
  <si>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</si>
  <si>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</si>
  <si>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</si>
  <si>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</si>
  <si>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</si>
  <si>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</si>
  <si>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</si>
  <si>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</si>
  <si>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</si>
  <si>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</si>
  <si>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</si>
  <si>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</si>
  <si>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</si>
  <si>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</si>
  <si>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</si>
  <si>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</si>
  <si>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</si>
  <si>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</si>
  <si>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</si>
  <si>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</si>
  <si>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</si>
  <si>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</si>
  <si>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</si>
  <si>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</si>
  <si>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</si>
  <si>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</si>
  <si>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</si>
  <si>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</si>
  <si>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</si>
  <si>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</si>
  <si>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</si>
  <si>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</si>
  <si>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</si>
  <si>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</si>
  <si>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</si>
  <si>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</si>
  <si>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</si>
  <si>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</si>
  <si>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</si>
  <si>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</si>
  <si>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</si>
  <si>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</si>
  <si>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</si>
  <si>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</si>
  <si>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</si>
  <si>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</si>
  <si>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</si>
  <si>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</si>
  <si>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</si>
  <si>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</si>
  <si>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</si>
  <si>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</si>
  <si>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</si>
  <si>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</si>
  <si>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</si>
  <si>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</si>
  <si>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</si>
  <si>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</si>
  <si>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</si>
  <si>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</si>
  <si>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</si>
  <si>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</si>
  <si>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</si>
  <si>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</si>
  <si>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</si>
  <si>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</si>
  <si>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</si>
  <si>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</si>
  <si>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</si>
  <si>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</si>
  <si>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</si>
  <si>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</si>
  <si>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</si>
  <si>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</si>
  <si>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</si>
  <si>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</si>
  <si>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</si>
  <si>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</si>
  <si>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</si>
  <si>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</si>
  <si>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</si>
  <si>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</si>
  <si>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</si>
  <si>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</si>
  <si>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</si>
  <si>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</si>
  <si>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</si>
  <si>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</si>
  <si>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</si>
  <si>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</si>
  <si>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</si>
  <si>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</si>
  <si>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</si>
  <si>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</si>
  <si>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</si>
  <si>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</si>
  <si>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</si>
  <si>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</si>
  <si>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</si>
  <si>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</si>
  <si>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</si>
  <si>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</si>
  <si>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</si>
  <si>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</si>
  <si>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</si>
  <si>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</si>
  <si>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</si>
  <si>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</si>
  <si>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</si>
  <si>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</si>
  <si>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</si>
  <si>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</si>
  <si>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</si>
  <si>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</si>
  <si>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</si>
  <si>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</si>
  <si>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</si>
  <si>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</si>
  <si>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</si>
  <si>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</si>
  <si>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</si>
  <si>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</si>
  <si>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</si>
  <si>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</si>
  <si>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</si>
  <si>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</si>
  <si>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</si>
  <si>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</si>
  <si>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</si>
  <si>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</si>
  <si>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</si>
  <si>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</si>
  <si>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</si>
  <si>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</si>
  <si>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</si>
  <si>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</si>
  <si>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</si>
  <si>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</si>
  <si>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</si>
  <si>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</si>
  <si>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</si>
  <si>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</si>
  <si>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</si>
  <si>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</si>
  <si>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</si>
  <si>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</si>
  <si>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</si>
  <si>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</si>
  <si>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</si>
  <si>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</si>
  <si>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</si>
  <si>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</si>
  <si>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</si>
  <si>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</si>
  <si>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</si>
  <si>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</si>
  <si>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</si>
  <si>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</si>
  <si>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</si>
  <si>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</si>
  <si>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</si>
  <si>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</si>
  <si>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</si>
  <si>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</si>
  <si>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</si>
  <si>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</si>
  <si>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</si>
  <si>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</si>
  <si>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</si>
  <si>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</si>
  <si>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</si>
  <si>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</si>
  <si>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</si>
  <si>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</si>
  <si>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</si>
  <si>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</si>
  <si>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</si>
  <si>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</si>
  <si>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</si>
  <si>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</si>
  <si>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</si>
  <si>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</si>
  <si>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</si>
  <si>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</si>
  <si>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</si>
  <si>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</si>
  <si>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</si>
  <si>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</si>
  <si>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</si>
  <si>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</si>
  <si>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</si>
  <si>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</si>
  <si>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</si>
  <si>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</si>
  <si>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</si>
  <si>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</si>
  <si>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</si>
  <si>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</si>
  <si>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</si>
  <si>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</si>
  <si>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</si>
  <si>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</si>
  <si>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</si>
  <si>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</si>
  <si>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</si>
  <si>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</si>
  <si>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</si>
  <si>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</si>
  <si>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</si>
  <si>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</si>
  <si>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</si>
  <si>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</si>
  <si>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</si>
  <si>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</si>
  <si>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</si>
  <si>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</si>
  <si>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</si>
  <si>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</si>
  <si>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</si>
  <si>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</si>
  <si>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</si>
  <si>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</si>
  <si>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</si>
  <si>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</si>
  <si>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</si>
  <si>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</si>
  <si>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</si>
  <si>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</si>
  <si>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</si>
  <si>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</si>
  <si>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</si>
  <si>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</si>
  <si>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</si>
  <si>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</si>
  <si>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</si>
  <si>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</si>
  <si>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</si>
  <si>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</si>
  <si>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</si>
  <si>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</si>
  <si>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</si>
  <si>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</si>
  <si>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</si>
  <si>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</si>
  <si>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</si>
  <si>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</si>
  <si>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</si>
  <si>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</si>
  <si>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</si>
  <si>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</si>
  <si>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</si>
  <si>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</si>
  <si>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</si>
  <si>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</si>
  <si>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</si>
  <si>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</si>
  <si>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</si>
  <si>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</si>
  <si>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</si>
  <si>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</si>
  <si>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</si>
  <si>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</si>
  <si>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</si>
  <si>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</si>
  <si>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</si>
  <si>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</si>
  <si>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</si>
  <si>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</si>
  <si>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</si>
  <si>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</si>
  <si>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</si>
  <si>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</si>
  <si>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</si>
  <si>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</si>
  <si>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</si>
  <si>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</si>
  <si>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</si>
  <si>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</si>
  <si>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</si>
  <si>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</si>
  <si>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</si>
  <si>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</si>
  <si>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</si>
  <si>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</si>
  <si>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</si>
  <si>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</si>
  <si>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</si>
  <si>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</si>
  <si>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</si>
  <si>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</si>
  <si>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</si>
  <si>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</si>
  <si>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</si>
  <si>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</si>
  <si>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</si>
  <si>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</si>
  <si>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</si>
  <si>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</si>
  <si>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</si>
  <si>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</si>
  <si>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</si>
  <si>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</si>
  <si>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</si>
  <si>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</si>
  <si>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</si>
  <si>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</si>
  <si>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</si>
  <si>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</si>
  <si>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</si>
  <si>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</si>
  <si>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</si>
  <si>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</si>
  <si>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</si>
  <si>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</si>
  <si>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</si>
  <si>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</si>
  <si>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</si>
  <si>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</si>
  <si>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</si>
  <si>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</si>
  <si>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</si>
  <si>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</si>
  <si>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</si>
  <si>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</si>
  <si>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</si>
  <si>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</si>
  <si>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</si>
  <si>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</si>
  <si>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</si>
  <si>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</si>
  <si>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</si>
  <si>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</si>
  <si>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</si>
  <si>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</si>
  <si>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</si>
  <si>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</si>
  <si>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</si>
  <si>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</si>
  <si>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</si>
  <si>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</si>
  <si>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</si>
  <si>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</si>
  <si>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</si>
  <si>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</si>
  <si>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</si>
  <si>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</si>
  <si>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</si>
  <si>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</si>
  <si>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</si>
  <si>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</si>
  <si>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</si>
  <si>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</si>
  <si>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</si>
  <si>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</si>
  <si>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</si>
  <si>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</si>
  <si>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</si>
  <si>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</si>
  <si>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</si>
  <si>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</si>
  <si>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</si>
  <si>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</si>
  <si>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</si>
  <si>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</si>
  <si>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</si>
  <si>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</si>
  <si>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</si>
  <si>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</si>
  <si>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</si>
  <si>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</si>
  <si>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</si>
  <si>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</si>
  <si>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</si>
  <si>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</si>
  <si>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</si>
  <si>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</si>
  <si>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</si>
  <si>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</si>
  <si>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</si>
  <si>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</si>
  <si>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</si>
  <si>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</si>
  <si>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</si>
  <si>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</si>
  <si>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</si>
  <si>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</si>
  <si>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</si>
  <si>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</si>
  <si>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</si>
  <si>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</si>
  <si>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</si>
  <si>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</si>
  <si>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</si>
  <si>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</si>
  <si>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</si>
  <si>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</si>
  <si>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</si>
  <si>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</si>
  <si>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</si>
  <si>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</si>
  <si>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</si>
  <si>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</si>
  <si>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</si>
  <si>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</si>
  <si>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</si>
  <si>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</si>
  <si>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</si>
  <si>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</si>
  <si>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</si>
  <si>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</si>
  <si>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</si>
  <si>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</si>
  <si>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</si>
  <si>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</si>
  <si>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</si>
  <si>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</si>
  <si>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</si>
  <si>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</si>
  <si>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</si>
  <si>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</si>
  <si>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</si>
  <si>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</si>
  <si>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</si>
  <si>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</si>
  <si>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</si>
  <si>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</si>
  <si>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</si>
  <si>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</si>
  <si>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</si>
  <si>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</si>
  <si>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</si>
  <si>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</si>
  <si>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</si>
  <si>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</si>
  <si>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</si>
  <si>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</si>
  <si>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</si>
  <si>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</si>
  <si>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</si>
  <si>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</si>
  <si>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</si>
  <si>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</si>
  <si>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</si>
  <si>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</si>
  <si>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</si>
  <si>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</si>
  <si>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</si>
  <si>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</si>
  <si>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</si>
  <si>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</si>
  <si>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</si>
  <si>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</si>
  <si>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</si>
  <si>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</si>
  <si>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</si>
  <si>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</si>
  <si>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</si>
  <si>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</si>
  <si>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</si>
  <si>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</si>
  <si>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</si>
  <si>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</si>
  <si>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</si>
  <si>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</si>
  <si>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</si>
  <si>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</si>
  <si>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</si>
  <si>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</si>
  <si>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</si>
  <si>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</si>
  <si>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</si>
  <si>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</si>
  <si>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</si>
  <si>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</si>
  <si>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</si>
  <si>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</si>
  <si>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</si>
  <si>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</si>
  <si>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</si>
  <si>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</si>
  <si>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</si>
  <si>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</si>
  <si>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</si>
  <si>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</si>
  <si>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</si>
  <si>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</si>
  <si>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</si>
  <si>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</si>
  <si>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</si>
  <si>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</si>
  <si>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</si>
  <si>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</si>
  <si>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</si>
  <si>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</si>
  <si>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</si>
  <si>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</si>
  <si>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</si>
  <si>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</si>
  <si>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</si>
  <si>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</si>
  <si>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</si>
  <si>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</si>
  <si>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</si>
  <si>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</si>
  <si>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</si>
  <si>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</si>
  <si>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</si>
  <si>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</si>
  <si>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</si>
  <si>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</si>
  <si>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</si>
  <si>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</si>
  <si>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</si>
  <si>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</si>
  <si>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</si>
  <si>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</si>
  <si>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</si>
  <si>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</si>
  <si>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</si>
  <si>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</si>
  <si>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</si>
  <si>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</si>
  <si>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</si>
  <si>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</si>
  <si>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</si>
  <si>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</si>
  <si>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</si>
  <si>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</si>
  <si>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</si>
  <si>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</si>
  <si>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</si>
  <si>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</si>
  <si>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</si>
  <si>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</si>
  <si>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</si>
  <si>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</si>
  <si>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</si>
  <si>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</si>
  <si>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</si>
  <si>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</si>
  <si>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</si>
  <si>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</si>
  <si>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</si>
  <si>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</si>
  <si>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</si>
  <si>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</si>
  <si>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</si>
  <si>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</si>
  <si>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</si>
  <si>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</si>
  <si>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</si>
  <si>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</si>
  <si>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</si>
  <si>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</si>
  <si>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</si>
  <si>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</si>
  <si>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</si>
  <si>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</si>
  <si>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</si>
  <si>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</si>
  <si>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</si>
  <si>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</si>
  <si>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</si>
  <si>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</si>
  <si>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</si>
  <si>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</si>
  <si>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</si>
  <si>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</si>
  <si>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</si>
  <si>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</si>
  <si>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</si>
  <si>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</si>
  <si>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</si>
  <si>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</si>
  <si>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</si>
  <si>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</si>
  <si>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</si>
  <si>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</si>
  <si>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</si>
  <si>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</si>
  <si>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</si>
  <si>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</si>
  <si>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</si>
  <si>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</si>
  <si>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</si>
  <si>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</si>
  <si>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</si>
  <si>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</si>
  <si>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</si>
  <si>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</si>
  <si>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</si>
  <si>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</si>
  <si>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</si>
  <si>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</si>
  <si>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</si>
  <si>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</si>
  <si>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</si>
  <si>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</si>
  <si>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</si>
  <si>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</si>
  <si>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</si>
  <si>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</si>
  <si>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</si>
  <si>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</si>
  <si>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</si>
  <si>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</si>
  <si>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</si>
  <si>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</si>
  <si>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</si>
  <si>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</si>
  <si>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</si>
  <si>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</si>
  <si>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</si>
  <si>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</si>
  <si>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</si>
  <si>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</si>
  <si>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</si>
  <si>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</si>
  <si>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</si>
  <si>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</si>
  <si>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</si>
  <si>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</si>
  <si>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</si>
  <si>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</si>
  <si>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</si>
  <si>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</si>
  <si>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</si>
  <si>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</si>
  <si>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</si>
  <si>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</si>
  <si>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</si>
  <si>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</si>
  <si>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</si>
  <si>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</si>
  <si>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</si>
  <si>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</si>
  <si>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</si>
  <si>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</si>
  <si>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</si>
  <si>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</si>
  <si>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</si>
  <si>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</si>
  <si>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</si>
  <si>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</si>
  <si>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</si>
  <si>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</si>
  <si>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</si>
  <si>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</si>
  <si>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</si>
  <si>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</si>
  <si>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</si>
  <si>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</si>
  <si>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</si>
  <si>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</si>
  <si>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</si>
  <si>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</si>
  <si>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</si>
  <si>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</si>
  <si>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</si>
  <si>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</si>
  <si>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</si>
  <si>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</si>
  <si>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</si>
  <si>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</si>
  <si>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</si>
  <si>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</si>
  <si>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</si>
  <si>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</si>
  <si>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</si>
  <si>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</si>
  <si>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</si>
  <si>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</si>
  <si>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</si>
  <si>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</si>
  <si>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</si>
  <si>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</si>
  <si>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</si>
  <si>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</si>
  <si>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</si>
  <si>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</si>
  <si>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</si>
  <si>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</si>
  <si>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</si>
  <si>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</si>
  <si>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</si>
  <si>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</si>
  <si>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</si>
  <si>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</si>
  <si>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</si>
  <si>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</si>
  <si>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</si>
  <si>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</si>
  <si>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</si>
  <si>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</si>
  <si>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</si>
  <si>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</si>
  <si>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</si>
  <si>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</si>
  <si>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</si>
  <si>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</si>
  <si>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</si>
  <si>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</si>
  <si>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</si>
  <si>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</si>
  <si>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</si>
  <si>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</si>
  <si>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</si>
  <si>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</si>
  <si>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</si>
  <si>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</si>
  <si>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</si>
  <si>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</si>
  <si>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</si>
  <si>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</si>
  <si>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</si>
  <si>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</si>
  <si>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</si>
  <si>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</si>
  <si>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</si>
  <si>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</si>
  <si>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</si>
  <si>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</si>
  <si>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</si>
  <si>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</si>
  <si>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</si>
  <si>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</si>
  <si>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</si>
  <si>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</si>
  <si>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</si>
  <si>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</si>
  <si>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</si>
  <si>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</si>
  <si>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</si>
  <si>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</si>
  <si>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</si>
  <si>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</si>
  <si>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</si>
  <si>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</si>
  <si>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</si>
  <si>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</si>
  <si>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</si>
  <si>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</si>
  <si>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</si>
  <si>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</si>
  <si>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</si>
  <si>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</si>
  <si>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</si>
  <si>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</si>
  <si>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</si>
  <si>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</si>
  <si>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</si>
  <si>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</si>
  <si>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</si>
  <si>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</si>
  <si>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</si>
  <si>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</si>
  <si>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</si>
  <si>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</si>
  <si>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</si>
  <si>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</si>
  <si>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</si>
  <si>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</si>
  <si>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</si>
  <si>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</si>
  <si>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</si>
  <si>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</si>
  <si>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</si>
  <si>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</si>
  <si>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</si>
  <si>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</si>
  <si>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</si>
  <si>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</si>
  <si>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</si>
  <si>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</si>
  <si>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</si>
  <si>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</si>
  <si>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</si>
  <si>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</si>
  <si>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</si>
  <si>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</si>
  <si>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</si>
  <si>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</si>
  <si>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</si>
  <si>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</si>
  <si>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</si>
  <si>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</si>
  <si>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</si>
  <si>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</si>
  <si>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</si>
  <si>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</si>
  <si>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</si>
  <si>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</si>
  <si>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</si>
  <si>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</si>
  <si>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</si>
  <si>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</si>
  <si>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</si>
  <si>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</si>
  <si>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</si>
  <si>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</si>
  <si>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</si>
  <si>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</si>
  <si>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</si>
  <si>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</si>
  <si>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</si>
  <si>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</si>
  <si>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</si>
  <si>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</si>
  <si>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</si>
  <si>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</si>
  <si>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</si>
  <si>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</si>
  <si>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</si>
  <si>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</si>
  <si>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</si>
  <si>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</si>
  <si>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</si>
  <si>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</si>
  <si>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</si>
  <si>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</si>
  <si>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</si>
  <si>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</si>
  <si>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</si>
  <si>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</si>
  <si>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</si>
  <si>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</si>
  <si>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</si>
  <si>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</si>
  <si>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</si>
  <si>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</si>
  <si>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</si>
  <si>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</si>
  <si>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</si>
  <si>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</si>
  <si>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</si>
  <si>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</si>
  <si>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</si>
  <si>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</si>
  <si>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</si>
  <si>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</si>
  <si>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</si>
  <si>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</si>
  <si>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</si>
  <si>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</si>
  <si>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</si>
  <si>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</si>
  <si>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</si>
  <si>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</si>
  <si>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</si>
  <si>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</si>
  <si>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</si>
  <si>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</si>
  <si>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</si>
  <si>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</si>
  <si>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</si>
  <si>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</si>
  <si>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</si>
  <si>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</si>
  <si>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</si>
  <si>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</si>
  <si>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</si>
  <si>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</si>
  <si>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</si>
  <si>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</si>
  <si>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</si>
  <si>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</si>
  <si>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</si>
  <si>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</si>
  <si>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</si>
  <si>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</si>
  <si>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</si>
  <si>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</si>
  <si>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</si>
  <si>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</si>
  <si>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</si>
  <si>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</si>
  <si>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</si>
  <si>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</si>
  <si>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</si>
  <si>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</si>
  <si>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</si>
  <si>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</si>
  <si>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</si>
  <si>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</si>
  <si>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</si>
  <si>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</si>
  <si>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</si>
  <si>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</si>
  <si>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</si>
  <si>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</si>
  <si>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</si>
  <si>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</si>
  <si>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</si>
  <si>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</si>
  <si>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</si>
  <si>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</si>
  <si>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</si>
  <si>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</si>
  <si>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</si>
  <si>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</si>
  <si>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</si>
  <si>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</si>
  <si>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</si>
  <si>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</si>
  <si>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</si>
  <si>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</si>
  <si>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</si>
  <si>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</si>
  <si>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</si>
  <si>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</si>
  <si>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</si>
  <si>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</si>
  <si>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</si>
  <si>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</si>
  <si>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</si>
  <si>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</si>
  <si>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</si>
  <si>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</si>
  <si>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</si>
  <si>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</si>
  <si>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</si>
  <si>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</si>
  <si>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</si>
  <si>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</si>
  <si>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</si>
  <si>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</si>
  <si>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</si>
  <si>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</si>
  <si>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</si>
  <si>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</si>
  <si>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</si>
  <si>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</si>
  <si>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</si>
  <si>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</si>
  <si>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</si>
  <si>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</si>
  <si>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</si>
  <si>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</si>
  <si>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</si>
  <si>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</si>
  <si>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</si>
  <si>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</si>
  <si>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</si>
  <si>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</si>
  <si>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</si>
  <si>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</si>
  <si>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</si>
  <si>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</si>
  <si>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</si>
  <si>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</si>
  <si>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</si>
  <si>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</si>
  <si>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</si>
  <si>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</si>
  <si>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</si>
  <si>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</si>
  <si>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</si>
  <si>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</si>
  <si>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</si>
  <si>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</si>
  <si>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</si>
  <si>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</si>
  <si>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</si>
  <si>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</si>
  <si>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</si>
  <si>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</si>
  <si>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</si>
  <si>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</si>
  <si>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</si>
  <si>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</si>
  <si>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</si>
  <si>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</si>
  <si>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</si>
  <si>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</si>
  <si>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</si>
  <si>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</si>
  <si>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</si>
  <si>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</si>
  <si>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</si>
  <si>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</si>
  <si>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</si>
  <si>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</si>
  <si>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</si>
  <si>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</si>
  <si>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</si>
  <si>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</si>
  <si>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</si>
  <si>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</si>
  <si>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</si>
  <si>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</si>
  <si>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</si>
  <si>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</si>
  <si>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</si>
  <si>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</si>
  <si>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</si>
  <si>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</si>
  <si>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</si>
  <si>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</si>
  <si>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</si>
  <si>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</si>
  <si>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</si>
  <si>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</si>
  <si>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</si>
  <si>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</si>
  <si>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</si>
  <si>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</si>
  <si>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</si>
  <si>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</si>
  <si>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</si>
  <si>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</si>
  <si>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</si>
  <si>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</si>
  <si>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</si>
  <si>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</si>
  <si>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</si>
  <si>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</si>
  <si>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</si>
  <si>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</si>
  <si>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</si>
  <si>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</si>
  <si>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</si>
  <si>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</si>
  <si>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</si>
  <si>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</si>
  <si>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</si>
  <si>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</si>
  <si>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</si>
  <si>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</si>
  <si>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</si>
  <si>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</si>
  <si>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</si>
  <si>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</si>
  <si>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</si>
  <si>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</si>
  <si>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</si>
  <si>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</si>
  <si>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</si>
  <si>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</si>
  <si>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</si>
  <si>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</si>
  <si>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</si>
  <si>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</si>
  <si>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</si>
  <si>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</si>
  <si>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</si>
  <si>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</si>
  <si>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</si>
  <si>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</si>
  <si>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</si>
  <si>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</si>
  <si>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</si>
  <si>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</si>
  <si>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</si>
  <si>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</si>
  <si>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</si>
  <si>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</si>
  <si>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</si>
  <si>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</si>
  <si>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</si>
  <si>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</si>
  <si>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</si>
  <si>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</si>
  <si>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</si>
  <si>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</si>
  <si>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</si>
  <si>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</si>
  <si>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</si>
  <si>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</si>
  <si>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</si>
  <si>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</si>
  <si>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</si>
  <si>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</si>
  <si>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</si>
  <si>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</si>
  <si>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</si>
  <si>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</si>
  <si>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</si>
  <si>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</si>
  <si>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</si>
  <si>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</si>
  <si>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</si>
  <si>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</si>
  <si>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</si>
  <si>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</si>
  <si>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</si>
  <si>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</si>
  <si>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</si>
  <si>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</si>
  <si>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</si>
  <si>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</si>
  <si>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</si>
  <si>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</si>
  <si>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</si>
  <si>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</si>
  <si>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</si>
  <si>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</si>
  <si>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</si>
  <si>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</si>
  <si>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</si>
  <si>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</si>
  <si>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</si>
  <si>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</si>
  <si>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</si>
  <si>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</si>
  <si>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</si>
  <si>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</si>
  <si>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</si>
  <si>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</si>
  <si>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</si>
  <si>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</si>
  <si>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</si>
  <si>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</si>
  <si>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</si>
  <si>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</si>
  <si>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</si>
  <si>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</si>
  <si>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</si>
  <si>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</si>
  <si>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</si>
  <si>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</si>
  <si>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</si>
  <si>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</si>
  <si>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</si>
  <si>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</si>
  <si>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</si>
  <si>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</si>
  <si>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</si>
  <si>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</si>
  <si>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</si>
  <si>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</si>
  <si>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</si>
  <si>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</si>
  <si>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</si>
  <si>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</si>
  <si>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</si>
  <si>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</si>
  <si>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</si>
  <si>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</si>
  <si>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</si>
  <si>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</si>
  <si>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</si>
  <si>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</si>
  <si>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</si>
  <si>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</si>
  <si>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</si>
  <si>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</si>
  <si>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</si>
  <si>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</si>
  <si>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</si>
  <si>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</si>
  <si>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</si>
  <si>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</si>
  <si>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</si>
  <si>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</si>
  <si>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</si>
  <si>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</si>
  <si>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</si>
  <si>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</si>
  <si>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</si>
  <si>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</si>
  <si>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</si>
  <si>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</si>
  <si>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</si>
  <si>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</si>
  <si>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</si>
  <si>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</si>
  <si>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</si>
  <si>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</si>
  <si>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</si>
  <si>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</si>
  <si>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</si>
  <si>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</si>
  <si>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</si>
  <si>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</si>
  <si>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</si>
  <si>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</si>
  <si>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</si>
  <si>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</si>
  <si>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</si>
  <si>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</si>
  <si>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</si>
  <si>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</si>
  <si>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</si>
  <si>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</si>
  <si>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</si>
  <si>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</si>
  <si>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</si>
  <si>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</si>
  <si>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</si>
  <si>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</si>
  <si>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</si>
  <si>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</si>
  <si>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</si>
  <si>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</si>
  <si>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</si>
  <si>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</si>
  <si>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</si>
  <si>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</si>
  <si>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</si>
  <si>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</si>
  <si>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</si>
  <si>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</si>
  <si>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</si>
  <si>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</si>
  <si>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</si>
  <si>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</si>
  <si>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</si>
  <si>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</si>
  <si>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</si>
  <si>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</si>
  <si>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</si>
  <si>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</si>
  <si>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</si>
  <si>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</si>
  <si>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</si>
  <si>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</si>
  <si>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</si>
  <si>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</si>
  <si>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</si>
  <si>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</si>
  <si>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</si>
  <si>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</si>
  <si>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</si>
  <si>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</si>
  <si>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</si>
  <si>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</si>
  <si>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</si>
  <si>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</si>
  <si>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</si>
  <si>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</si>
  <si>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</si>
  <si>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</si>
  <si>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</si>
  <si>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</si>
  <si>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</si>
  <si>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</si>
  <si>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</si>
  <si>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</si>
  <si>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</si>
  <si>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</si>
  <si>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</si>
  <si>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</si>
  <si>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</si>
  <si>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</si>
  <si>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</si>
  <si>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</si>
  <si>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</si>
  <si>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</si>
  <si>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</si>
  <si>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</si>
  <si>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</si>
  <si>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</si>
  <si>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</si>
  <si>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</si>
  <si>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</si>
  <si>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</si>
  <si>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</si>
  <si>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</si>
  <si>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</si>
  <si>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</si>
  <si>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</si>
  <si>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</si>
  <si>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</si>
  <si>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</si>
  <si>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</si>
  <si>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</si>
  <si>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</si>
  <si>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</si>
  <si>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</si>
  <si>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</si>
  <si>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</si>
  <si>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</si>
  <si>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</si>
  <si>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</si>
  <si>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</si>
  <si>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</si>
  <si>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</si>
  <si>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</si>
  <si>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</si>
  <si>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</si>
  <si>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</si>
  <si>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</si>
  <si>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</si>
  <si>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</si>
  <si>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</si>
  <si>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</si>
  <si>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</si>
  <si>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</si>
  <si>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</si>
  <si>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</si>
  <si>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</si>
  <si>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</si>
  <si>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</si>
  <si>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</si>
  <si>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</si>
  <si>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</si>
  <si>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</si>
  <si>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</si>
  <si>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</si>
  <si>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</si>
  <si>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</si>
  <si>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</si>
  <si>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</si>
  <si>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</si>
  <si>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</si>
  <si>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</si>
  <si>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</si>
  <si>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</si>
  <si>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</si>
  <si>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</si>
  <si>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</si>
  <si>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</si>
  <si>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</si>
  <si>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</si>
  <si>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</si>
  <si>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</si>
  <si>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</si>
  <si>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</si>
  <si>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</si>
  <si>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</si>
  <si>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</si>
  <si>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</si>
  <si>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</si>
  <si>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</si>
  <si>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</si>
  <si>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</si>
  <si>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</si>
  <si>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</si>
  <si>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</si>
  <si>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</si>
  <si>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</si>
  <si>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</si>
  <si>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</si>
  <si>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</si>
  <si>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</si>
  <si>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</si>
  <si>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</si>
  <si>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</si>
  <si>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</si>
  <si>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</si>
  <si>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</si>
  <si>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</si>
  <si>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</si>
  <si>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</si>
  <si>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</si>
  <si>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</si>
  <si>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</si>
  <si>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</si>
  <si>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</si>
  <si>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</si>
  <si>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</si>
  <si>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</si>
  <si>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</si>
  <si>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</si>
  <si>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به حساب بورس مهدی معادل 1864 تا وغدیر 213.7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</si>
  <si>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</si>
  <si>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</si>
  <si>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</si>
  <si>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</si>
  <si>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</si>
  <si>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</si>
  <si>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</si>
  <si>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</si>
  <si>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</si>
  <si>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</si>
  <si>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</si>
  <si>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</si>
  <si>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</si>
  <si>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</si>
  <si>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</si>
  <si>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</si>
  <si>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</si>
  <si>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</si>
  <si>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</si>
  <si>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</si>
  <si>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</si>
  <si>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</si>
  <si>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</si>
  <si>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</si>
  <si>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</si>
  <si>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</si>
  <si>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</si>
  <si>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</si>
  <si>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</si>
  <si>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</si>
  <si>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</si>
  <si>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</si>
  <si>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</si>
  <si>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</si>
  <si>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</si>
  <si>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</si>
  <si>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</si>
  <si>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</si>
  <si>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</si>
  <si>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</si>
  <si>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</si>
  <si>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</si>
  <si>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</si>
  <si>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</si>
  <si>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</si>
  <si>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</si>
  <si>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</si>
  <si>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</si>
  <si>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</si>
  <si>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</si>
  <si>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17/71397</t>
  </si>
  <si>
    <t>معادل 5019 تا سهم وغدیر به قیمت 200.4 فروش</t>
  </si>
  <si>
    <t>تعداد 182532 عدد سهام وغدیر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</si>
  <si>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</si>
  <si>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</si>
  <si>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</si>
  <si>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</si>
  <si>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</si>
  <si>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بدهی به مهدی نقدی 17/7/1397</t>
  </si>
  <si>
    <t>سود علی از فروش 18290 تا وغدیر حساب داریوش</t>
  </si>
  <si>
    <t>وغدیر 1222016 تا 192</t>
  </si>
  <si>
    <t>سود علی از فروش 26691 تا وغدیر حساب علی</t>
  </si>
  <si>
    <t>خرید وغدیر  شاراک شپدیس شلرد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</si>
  <si>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</si>
  <si>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</si>
  <si>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</si>
  <si>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</si>
  <si>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</si>
  <si>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</si>
  <si>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</si>
  <si>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</si>
  <si>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</si>
  <si>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</si>
  <si>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</si>
  <si>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</si>
  <si>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</si>
  <si>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</si>
  <si>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</si>
  <si>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 xml:space="preserve">وغدیر 24834 تا 200.4 </t>
  </si>
  <si>
    <t>وغدیر 45640 تا 190.3 که 19666 تا  در حساب داریوش است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</si>
</sst>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1" fillId="0" borderId="1" xfId="0" applyFont="1" applyBorder="1"/>
    <xf numFmtId="164" fontId="11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4" t="s">
        <v>4287</v>
      </c>
      <c r="B1" t="s">
        <v>4288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31" workbookViewId="0">
      <selection activeCell="E63" sqref="E6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2" t="s">
        <v>0</v>
      </c>
      <c r="B1" s="172" t="s">
        <v>1</v>
      </c>
      <c r="C1" s="172" t="s">
        <v>4</v>
      </c>
      <c r="D1" s="172" t="s">
        <v>5</v>
      </c>
      <c r="E1" s="17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2" t="s">
        <v>4182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2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4188</v>
      </c>
      <c r="B3" s="18">
        <v>830000</v>
      </c>
      <c r="C3" s="18">
        <v>0</v>
      </c>
      <c r="D3" s="117">
        <f t="shared" ref="D3:D26" si="0">B3-C3</f>
        <v>830000</v>
      </c>
      <c r="E3" s="20" t="s">
        <v>4190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4211</v>
      </c>
      <c r="B4" s="18">
        <v>-52440</v>
      </c>
      <c r="C4" s="18">
        <v>0</v>
      </c>
      <c r="D4" s="113">
        <f t="shared" si="0"/>
        <v>-52440</v>
      </c>
      <c r="E4" s="99" t="s">
        <v>4217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4218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4220</v>
      </c>
      <c r="B6" s="18">
        <v>-200000</v>
      </c>
      <c r="C6" s="18">
        <v>0</v>
      </c>
      <c r="D6" s="113">
        <f t="shared" si="0"/>
        <v>-200000</v>
      </c>
      <c r="E6" s="19" t="s">
        <v>4221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4222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4223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4223</v>
      </c>
      <c r="B9" s="18">
        <v>-30000</v>
      </c>
      <c r="C9" s="18">
        <v>0</v>
      </c>
      <c r="D9" s="113">
        <f t="shared" si="0"/>
        <v>-30000</v>
      </c>
      <c r="E9" s="21" t="s">
        <v>4224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4074</v>
      </c>
      <c r="B10" s="18">
        <v>-178000</v>
      </c>
      <c r="C10" s="18">
        <v>0</v>
      </c>
      <c r="D10" s="113">
        <f t="shared" si="0"/>
        <v>-178000</v>
      </c>
      <c r="E10" s="19" t="s">
        <v>4227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4228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4181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4232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4237</v>
      </c>
      <c r="B14" s="18">
        <v>1548000</v>
      </c>
      <c r="C14" s="18">
        <v>0</v>
      </c>
      <c r="D14" s="113">
        <f t="shared" si="0"/>
        <v>1548000</v>
      </c>
      <c r="E14" s="20" t="s">
        <v>4283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4268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4284</v>
      </c>
      <c r="B16" s="18">
        <v>-5000</v>
      </c>
      <c r="C16" s="18">
        <v>-2500</v>
      </c>
      <c r="D16" s="113">
        <f t="shared" si="0"/>
        <v>-2500</v>
      </c>
      <c r="E16" s="20" t="s">
        <v>4285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4114</v>
      </c>
      <c r="B17" s="18"/>
      <c r="C17" s="18">
        <v>0</v>
      </c>
      <c r="D17" s="113">
        <f t="shared" si="0"/>
        <v>0</v>
      </c>
      <c r="E17" s="20"/>
      <c r="F17" s="96">
        <v>14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4126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4139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4139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4142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4142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4172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2" t="s">
        <v>4185</v>
      </c>
      <c r="B26" s="172"/>
      <c r="C26" s="172">
        <v>0</v>
      </c>
      <c r="D26" s="172">
        <f t="shared" si="0"/>
        <v>0</v>
      </c>
      <c r="E26" s="172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2" t="s">
        <v>6</v>
      </c>
      <c r="B27" s="113">
        <f>SUM(B2:B26)</f>
        <v>197227</v>
      </c>
      <c r="C27" s="113">
        <f>SUM(C2:C26)</f>
        <v>7903817</v>
      </c>
      <c r="D27" s="113">
        <f>SUM(D2:D26)</f>
        <v>-7706590</v>
      </c>
      <c r="E27" s="172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8496060</v>
      </c>
      <c r="H28" s="18">
        <f>SUM(H2:H26)</f>
        <v>237149510</v>
      </c>
      <c r="I28" s="18">
        <f>SUM(I2:I26)</f>
        <v>-228653450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v>600</v>
      </c>
      <c r="H33" s="18">
        <f>G33*H28/G28</f>
        <v>16747.728476493809</v>
      </c>
      <c r="I33" s="18">
        <f>G33*I28/G28</f>
        <v>-16147.72847649381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4191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4203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4205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4225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4227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4229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4231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4231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4233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4235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4238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4266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4279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4281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4293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/>
      <c r="E56" s="41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/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/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f>SUM(D33:D59)</f>
        <v>-49555660</v>
      </c>
      <c r="E60" s="96" t="s">
        <v>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/>
      <c r="E61" s="41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E63" t="s">
        <v>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12" activePane="bottomLeft" state="frozen"/>
      <selection pane="bottomLeft" activeCell="F223" sqref="F22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913</v>
      </c>
      <c r="H2" s="36">
        <f>IF(B2&gt;0,1,0)</f>
        <v>1</v>
      </c>
      <c r="I2" s="11">
        <f>B2*(G2-H2)</f>
        <v>15230400</v>
      </c>
      <c r="J2" s="53">
        <f>C2*(G2-H2)</f>
        <v>15230400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912</v>
      </c>
      <c r="H3" s="36">
        <f t="shared" ref="H3:H66" si="2">IF(B3&gt;0,1,0)</f>
        <v>1</v>
      </c>
      <c r="I3" s="11">
        <f t="shared" ref="I3:I66" si="3">B3*(G3-H3)</f>
        <v>18128900000</v>
      </c>
      <c r="J3" s="53">
        <f t="shared" ref="J3:J66" si="4">C3*(G3-H3)</f>
        <v>10373557000</v>
      </c>
      <c r="K3" s="53">
        <f t="shared" ref="K3:K66" si="5">D3*(G3-H3)</f>
        <v>7755343000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912</v>
      </c>
      <c r="H4" s="36">
        <f t="shared" si="2"/>
        <v>0</v>
      </c>
      <c r="I4" s="11">
        <f t="shared" si="3"/>
        <v>0</v>
      </c>
      <c r="J4" s="53">
        <f t="shared" si="4"/>
        <v>7752000</v>
      </c>
      <c r="K4" s="53">
        <f t="shared" si="5"/>
        <v>-7752000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910</v>
      </c>
      <c r="H5" s="36">
        <f t="shared" si="2"/>
        <v>1</v>
      </c>
      <c r="I5" s="11">
        <f t="shared" si="3"/>
        <v>1818000000</v>
      </c>
      <c r="J5" s="53">
        <f t="shared" si="4"/>
        <v>0</v>
      </c>
      <c r="K5" s="53">
        <f t="shared" si="5"/>
        <v>1818000000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903</v>
      </c>
      <c r="H6" s="36">
        <f t="shared" si="2"/>
        <v>0</v>
      </c>
      <c r="I6" s="11">
        <f t="shared" si="3"/>
        <v>-4515000</v>
      </c>
      <c r="J6" s="53">
        <f t="shared" si="4"/>
        <v>0</v>
      </c>
      <c r="K6" s="53">
        <f t="shared" si="5"/>
        <v>-4515000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899</v>
      </c>
      <c r="H7" s="36">
        <f t="shared" si="2"/>
        <v>0</v>
      </c>
      <c r="I7" s="11">
        <f t="shared" si="3"/>
        <v>-1079249500</v>
      </c>
      <c r="J7" s="53">
        <f t="shared" si="4"/>
        <v>0</v>
      </c>
      <c r="K7" s="53">
        <f t="shared" si="5"/>
        <v>-1079249500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898</v>
      </c>
      <c r="H8" s="36">
        <f t="shared" si="2"/>
        <v>0</v>
      </c>
      <c r="I8" s="11">
        <f t="shared" si="3"/>
        <v>-179600000</v>
      </c>
      <c r="J8" s="53">
        <f t="shared" si="4"/>
        <v>0</v>
      </c>
      <c r="K8" s="53">
        <f t="shared" si="5"/>
        <v>-179600000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896</v>
      </c>
      <c r="H9" s="36">
        <f t="shared" si="2"/>
        <v>0</v>
      </c>
      <c r="I9" s="11">
        <f t="shared" si="3"/>
        <v>-632128000</v>
      </c>
      <c r="J9" s="53">
        <f t="shared" si="4"/>
        <v>0</v>
      </c>
      <c r="K9" s="53">
        <f t="shared" si="5"/>
        <v>-632128000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887</v>
      </c>
      <c r="H10" s="36">
        <f t="shared" si="2"/>
        <v>0</v>
      </c>
      <c r="I10" s="11">
        <f t="shared" si="3"/>
        <v>-177400000</v>
      </c>
      <c r="J10" s="53">
        <f t="shared" si="4"/>
        <v>0</v>
      </c>
      <c r="K10" s="53">
        <f t="shared" si="5"/>
        <v>-177400000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887</v>
      </c>
      <c r="H11" s="36">
        <f t="shared" si="2"/>
        <v>1</v>
      </c>
      <c r="I11" s="11">
        <f t="shared" si="3"/>
        <v>886000000</v>
      </c>
      <c r="J11" s="53">
        <f t="shared" si="4"/>
        <v>0</v>
      </c>
      <c r="K11" s="53">
        <f t="shared" si="5"/>
        <v>886000000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883</v>
      </c>
      <c r="H12" s="36">
        <f t="shared" si="2"/>
        <v>0</v>
      </c>
      <c r="I12" s="11">
        <f t="shared" si="3"/>
        <v>-264900000</v>
      </c>
      <c r="J12" s="53">
        <f t="shared" si="4"/>
        <v>0</v>
      </c>
      <c r="K12" s="53">
        <f t="shared" si="5"/>
        <v>-264900000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878</v>
      </c>
      <c r="H13" s="36">
        <f t="shared" si="2"/>
        <v>0</v>
      </c>
      <c r="I13" s="11">
        <f t="shared" si="3"/>
        <v>-54436000</v>
      </c>
      <c r="J13" s="53">
        <f t="shared" si="4"/>
        <v>0</v>
      </c>
      <c r="K13" s="53">
        <f t="shared" si="5"/>
        <v>-54436000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878</v>
      </c>
      <c r="H14" s="36">
        <f t="shared" si="2"/>
        <v>1</v>
      </c>
      <c r="I14" s="11">
        <f t="shared" si="3"/>
        <v>1754000000</v>
      </c>
      <c r="J14" s="53">
        <f t="shared" si="4"/>
        <v>0</v>
      </c>
      <c r="K14" s="53">
        <f t="shared" si="5"/>
        <v>1754000000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877</v>
      </c>
      <c r="H15" s="36">
        <f t="shared" si="2"/>
        <v>1</v>
      </c>
      <c r="I15" s="11">
        <f t="shared" si="3"/>
        <v>1576800000</v>
      </c>
      <c r="J15" s="53">
        <f t="shared" si="4"/>
        <v>0</v>
      </c>
      <c r="K15" s="53">
        <f t="shared" si="5"/>
        <v>1576800000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877</v>
      </c>
      <c r="H16" s="36">
        <f t="shared" si="2"/>
        <v>0</v>
      </c>
      <c r="I16" s="11">
        <f t="shared" si="3"/>
        <v>-175400000</v>
      </c>
      <c r="J16" s="53">
        <f t="shared" si="4"/>
        <v>0</v>
      </c>
      <c r="K16" s="53">
        <f t="shared" si="5"/>
        <v>-175400000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873</v>
      </c>
      <c r="H17" s="36">
        <f t="shared" si="2"/>
        <v>0</v>
      </c>
      <c r="I17" s="11">
        <f t="shared" si="3"/>
        <v>-1746000000</v>
      </c>
      <c r="J17" s="53">
        <f t="shared" si="4"/>
        <v>0</v>
      </c>
      <c r="K17" s="53">
        <f t="shared" si="5"/>
        <v>-1746000000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872</v>
      </c>
      <c r="H18" s="36">
        <f t="shared" si="2"/>
        <v>0</v>
      </c>
      <c r="I18" s="11">
        <f t="shared" si="3"/>
        <v>-261600000</v>
      </c>
      <c r="J18" s="53">
        <f t="shared" si="4"/>
        <v>0</v>
      </c>
      <c r="K18" s="53">
        <f t="shared" si="5"/>
        <v>-261600000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871</v>
      </c>
      <c r="H19" s="36">
        <f t="shared" si="2"/>
        <v>0</v>
      </c>
      <c r="I19" s="11">
        <f t="shared" si="3"/>
        <v>-174200000</v>
      </c>
      <c r="J19" s="53">
        <f t="shared" si="4"/>
        <v>0</v>
      </c>
      <c r="K19" s="53">
        <f t="shared" si="5"/>
        <v>-174200000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869</v>
      </c>
      <c r="H20" s="36">
        <f t="shared" si="2"/>
        <v>1</v>
      </c>
      <c r="I20" s="11">
        <f t="shared" si="3"/>
        <v>235305252</v>
      </c>
      <c r="J20" s="53">
        <f t="shared" si="4"/>
        <v>127988336</v>
      </c>
      <c r="K20" s="53">
        <f t="shared" si="5"/>
        <v>107316916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867</v>
      </c>
      <c r="H21" s="36">
        <f t="shared" si="2"/>
        <v>0</v>
      </c>
      <c r="I21" s="11">
        <f t="shared" si="3"/>
        <v>-1305441900</v>
      </c>
      <c r="J21" s="53">
        <f t="shared" si="4"/>
        <v>0</v>
      </c>
      <c r="K21" s="53">
        <f t="shared" si="5"/>
        <v>-1305441900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864</v>
      </c>
      <c r="H22" s="36">
        <f t="shared" si="2"/>
        <v>1</v>
      </c>
      <c r="I22" s="11">
        <f t="shared" si="3"/>
        <v>2589000000</v>
      </c>
      <c r="J22" s="53">
        <f t="shared" si="4"/>
        <v>0</v>
      </c>
      <c r="K22" s="53">
        <f t="shared" si="5"/>
        <v>2589000000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863</v>
      </c>
      <c r="H23" s="36">
        <f t="shared" si="2"/>
        <v>1</v>
      </c>
      <c r="I23" s="11">
        <f t="shared" si="3"/>
        <v>862000000</v>
      </c>
      <c r="J23" s="53">
        <f t="shared" si="4"/>
        <v>0</v>
      </c>
      <c r="K23" s="53">
        <f t="shared" si="5"/>
        <v>862000000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862</v>
      </c>
      <c r="H24" s="36">
        <f t="shared" si="2"/>
        <v>0</v>
      </c>
      <c r="I24" s="11">
        <f t="shared" si="3"/>
        <v>-2586775800</v>
      </c>
      <c r="J24" s="53">
        <f t="shared" si="4"/>
        <v>0</v>
      </c>
      <c r="K24" s="53">
        <f t="shared" si="5"/>
        <v>-2586775800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847</v>
      </c>
      <c r="H25" s="36">
        <f t="shared" si="2"/>
        <v>1</v>
      </c>
      <c r="I25" s="11">
        <f t="shared" si="3"/>
        <v>1269000000</v>
      </c>
      <c r="J25" s="53">
        <f t="shared" si="4"/>
        <v>0</v>
      </c>
      <c r="K25" s="53">
        <f t="shared" si="5"/>
        <v>1269000000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839</v>
      </c>
      <c r="H26" s="36">
        <f t="shared" si="2"/>
        <v>0</v>
      </c>
      <c r="I26" s="11">
        <f t="shared" si="3"/>
        <v>-137596000</v>
      </c>
      <c r="J26" s="53">
        <f t="shared" si="4"/>
        <v>0</v>
      </c>
      <c r="K26" s="53">
        <f t="shared" si="5"/>
        <v>-137596000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838</v>
      </c>
      <c r="H27" s="36">
        <f t="shared" si="2"/>
        <v>1</v>
      </c>
      <c r="I27" s="11">
        <f t="shared" si="3"/>
        <v>166891941</v>
      </c>
      <c r="J27" s="53">
        <f t="shared" si="4"/>
        <v>89904681</v>
      </c>
      <c r="K27" s="53">
        <f t="shared" si="5"/>
        <v>76987260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836</v>
      </c>
      <c r="H28" s="36">
        <f t="shared" si="2"/>
        <v>0</v>
      </c>
      <c r="I28" s="11">
        <f t="shared" si="3"/>
        <v>-184756000</v>
      </c>
      <c r="J28" s="53">
        <f t="shared" si="4"/>
        <v>-184756000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836</v>
      </c>
      <c r="H29" s="36">
        <f t="shared" si="2"/>
        <v>0</v>
      </c>
      <c r="I29" s="11">
        <f t="shared" si="3"/>
        <v>-418418000</v>
      </c>
      <c r="J29" s="53">
        <f t="shared" si="4"/>
        <v>0</v>
      </c>
      <c r="K29" s="53">
        <f t="shared" si="5"/>
        <v>-418418000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836</v>
      </c>
      <c r="H30" s="36">
        <f t="shared" si="2"/>
        <v>0</v>
      </c>
      <c r="I30" s="11">
        <f t="shared" si="3"/>
        <v>-12540000000</v>
      </c>
      <c r="J30" s="53">
        <f t="shared" si="4"/>
        <v>-12540000000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819</v>
      </c>
      <c r="H31" s="36">
        <f t="shared" si="2"/>
        <v>0</v>
      </c>
      <c r="I31" s="11">
        <f t="shared" si="3"/>
        <v>-2465927100</v>
      </c>
      <c r="J31" s="53">
        <f t="shared" si="4"/>
        <v>0</v>
      </c>
      <c r="K31" s="53">
        <f t="shared" si="5"/>
        <v>-2465927100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817</v>
      </c>
      <c r="H32" s="36">
        <f t="shared" si="2"/>
        <v>0</v>
      </c>
      <c r="I32" s="11">
        <f t="shared" si="3"/>
        <v>-2455820300</v>
      </c>
      <c r="J32" s="53">
        <f t="shared" si="4"/>
        <v>0</v>
      </c>
      <c r="K32" s="53">
        <f t="shared" si="5"/>
        <v>-2455820300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816</v>
      </c>
      <c r="H33" s="36">
        <f t="shared" si="2"/>
        <v>0</v>
      </c>
      <c r="I33" s="11">
        <f t="shared" si="3"/>
        <v>-730728000</v>
      </c>
      <c r="J33" s="53">
        <f t="shared" si="4"/>
        <v>0</v>
      </c>
      <c r="K33" s="53">
        <f t="shared" si="5"/>
        <v>-730728000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816</v>
      </c>
      <c r="H34" s="36">
        <f t="shared" si="2"/>
        <v>0</v>
      </c>
      <c r="I34" s="11">
        <f t="shared" si="3"/>
        <v>0</v>
      </c>
      <c r="J34" s="53">
        <f t="shared" si="4"/>
        <v>816000000</v>
      </c>
      <c r="K34" s="53">
        <f t="shared" si="5"/>
        <v>-816000000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807</v>
      </c>
      <c r="H35" s="36">
        <f t="shared" si="2"/>
        <v>1</v>
      </c>
      <c r="I35" s="11">
        <f t="shared" si="3"/>
        <v>42292432</v>
      </c>
      <c r="J35" s="53">
        <f t="shared" si="4"/>
        <v>-17460378</v>
      </c>
      <c r="K35" s="53">
        <f t="shared" si="5"/>
        <v>59752810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807</v>
      </c>
      <c r="H36" s="36">
        <f t="shared" si="2"/>
        <v>0</v>
      </c>
      <c r="I36" s="11">
        <f t="shared" si="3"/>
        <v>0</v>
      </c>
      <c r="J36" s="53">
        <f t="shared" si="4"/>
        <v>17482041</v>
      </c>
      <c r="K36" s="53">
        <f t="shared" si="5"/>
        <v>-17482041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797</v>
      </c>
      <c r="H37" s="36">
        <f t="shared" si="2"/>
        <v>0</v>
      </c>
      <c r="I37" s="11">
        <f t="shared" si="3"/>
        <v>-43835000</v>
      </c>
      <c r="J37" s="53">
        <f t="shared" si="4"/>
        <v>0</v>
      </c>
      <c r="K37" s="53">
        <f t="shared" si="5"/>
        <v>-43835000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796</v>
      </c>
      <c r="H38" s="36">
        <f t="shared" si="2"/>
        <v>1</v>
      </c>
      <c r="I38" s="11">
        <f t="shared" si="3"/>
        <v>2385000000</v>
      </c>
      <c r="J38" s="53">
        <f t="shared" si="4"/>
        <v>2385000000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795</v>
      </c>
      <c r="H39" s="36">
        <f t="shared" si="2"/>
        <v>1</v>
      </c>
      <c r="I39" s="11">
        <f t="shared" si="3"/>
        <v>1985000000</v>
      </c>
      <c r="J39" s="53">
        <f t="shared" si="4"/>
        <v>1985000000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795</v>
      </c>
      <c r="H40" s="36">
        <f t="shared" si="2"/>
        <v>0</v>
      </c>
      <c r="I40" s="11">
        <f t="shared" si="3"/>
        <v>-39750000</v>
      </c>
      <c r="J40" s="53">
        <f t="shared" si="4"/>
        <v>0</v>
      </c>
      <c r="K40" s="53">
        <f t="shared" si="5"/>
        <v>-39750000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795</v>
      </c>
      <c r="H41" s="36">
        <f t="shared" si="2"/>
        <v>1</v>
      </c>
      <c r="I41" s="11">
        <f t="shared" si="3"/>
        <v>2382000000</v>
      </c>
      <c r="J41" s="53">
        <f t="shared" si="4"/>
        <v>0</v>
      </c>
      <c r="K41" s="53">
        <f t="shared" si="5"/>
        <v>2382000000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792</v>
      </c>
      <c r="H42" s="36">
        <f t="shared" si="2"/>
        <v>0</v>
      </c>
      <c r="I42" s="11">
        <f t="shared" si="3"/>
        <v>-70646400</v>
      </c>
      <c r="J42" s="53">
        <f t="shared" si="4"/>
        <v>0</v>
      </c>
      <c r="K42" s="53">
        <f t="shared" si="5"/>
        <v>-70646400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788</v>
      </c>
      <c r="H43" s="36">
        <f t="shared" si="2"/>
        <v>0</v>
      </c>
      <c r="I43" s="11">
        <f t="shared" si="3"/>
        <v>-157600000</v>
      </c>
      <c r="J43" s="53">
        <f t="shared" si="4"/>
        <v>0</v>
      </c>
      <c r="K43" s="53">
        <f t="shared" si="5"/>
        <v>-157600000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786</v>
      </c>
      <c r="H44" s="36">
        <f t="shared" si="2"/>
        <v>0</v>
      </c>
      <c r="I44" s="11">
        <f t="shared" si="3"/>
        <v>-157200000</v>
      </c>
      <c r="J44" s="53">
        <f t="shared" si="4"/>
        <v>0</v>
      </c>
      <c r="K44" s="53">
        <f t="shared" si="5"/>
        <v>-157200000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786</v>
      </c>
      <c r="H45" s="36">
        <f t="shared" si="2"/>
        <v>0</v>
      </c>
      <c r="I45" s="11">
        <f t="shared" si="3"/>
        <v>-440160000</v>
      </c>
      <c r="J45" s="53">
        <f t="shared" si="4"/>
        <v>0</v>
      </c>
      <c r="K45" s="53">
        <f t="shared" si="5"/>
        <v>-440160000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782</v>
      </c>
      <c r="H46" s="36">
        <f t="shared" si="2"/>
        <v>0</v>
      </c>
      <c r="I46" s="11">
        <f t="shared" si="3"/>
        <v>-551701000</v>
      </c>
      <c r="J46" s="53">
        <f t="shared" si="4"/>
        <v>0</v>
      </c>
      <c r="K46" s="53">
        <f t="shared" si="5"/>
        <v>-551701000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776</v>
      </c>
      <c r="H47" s="36">
        <f t="shared" si="2"/>
        <v>1</v>
      </c>
      <c r="I47" s="11">
        <f t="shared" si="3"/>
        <v>31933100</v>
      </c>
      <c r="J47" s="53">
        <f t="shared" si="4"/>
        <v>5202575</v>
      </c>
      <c r="K47" s="53">
        <f t="shared" si="5"/>
        <v>26730525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776</v>
      </c>
      <c r="H48" s="36">
        <f t="shared" si="2"/>
        <v>1</v>
      </c>
      <c r="I48" s="11">
        <f t="shared" si="3"/>
        <v>1321142500</v>
      </c>
      <c r="J48" s="53">
        <f t="shared" si="4"/>
        <v>0</v>
      </c>
      <c r="K48" s="53">
        <f t="shared" si="5"/>
        <v>1321142500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767</v>
      </c>
      <c r="H49" s="36">
        <f t="shared" si="2"/>
        <v>0</v>
      </c>
      <c r="I49" s="11">
        <f t="shared" si="3"/>
        <v>-118885000</v>
      </c>
      <c r="J49" s="53">
        <f t="shared" si="4"/>
        <v>0</v>
      </c>
      <c r="K49" s="53">
        <f t="shared" si="5"/>
        <v>-118885000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767</v>
      </c>
      <c r="H50" s="36">
        <f t="shared" si="2"/>
        <v>0</v>
      </c>
      <c r="I50" s="11">
        <f t="shared" si="3"/>
        <v>-105846000</v>
      </c>
      <c r="J50" s="53">
        <f t="shared" si="4"/>
        <v>0</v>
      </c>
      <c r="K50" s="53">
        <f t="shared" si="5"/>
        <v>-105846000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767</v>
      </c>
      <c r="H51" s="36">
        <f t="shared" si="2"/>
        <v>0</v>
      </c>
      <c r="I51" s="11">
        <f t="shared" si="3"/>
        <v>-567580000</v>
      </c>
      <c r="J51" s="53">
        <f t="shared" si="4"/>
        <v>0</v>
      </c>
      <c r="K51" s="53">
        <f t="shared" si="5"/>
        <v>-567580000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767</v>
      </c>
      <c r="H52" s="36">
        <f t="shared" si="2"/>
        <v>0</v>
      </c>
      <c r="I52" s="11">
        <f t="shared" si="3"/>
        <v>-153400000</v>
      </c>
      <c r="J52" s="53">
        <f t="shared" si="4"/>
        <v>0</v>
      </c>
      <c r="K52" s="53">
        <f t="shared" si="5"/>
        <v>-153400000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766</v>
      </c>
      <c r="H53" s="36">
        <f t="shared" si="2"/>
        <v>0</v>
      </c>
      <c r="I53" s="11">
        <f t="shared" si="3"/>
        <v>-808130000</v>
      </c>
      <c r="J53" s="53">
        <f t="shared" si="4"/>
        <v>0</v>
      </c>
      <c r="K53" s="53">
        <f t="shared" si="5"/>
        <v>-808130000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766</v>
      </c>
      <c r="H54" s="36">
        <f t="shared" si="2"/>
        <v>0</v>
      </c>
      <c r="I54" s="11">
        <f t="shared" si="3"/>
        <v>-153200000</v>
      </c>
      <c r="J54" s="53">
        <f t="shared" si="4"/>
        <v>0</v>
      </c>
      <c r="K54" s="53">
        <f t="shared" si="5"/>
        <v>-153200000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766</v>
      </c>
      <c r="H55" s="36">
        <f t="shared" si="2"/>
        <v>0</v>
      </c>
      <c r="I55" s="11">
        <f t="shared" si="3"/>
        <v>-766383000</v>
      </c>
      <c r="J55" s="53">
        <f t="shared" si="4"/>
        <v>0</v>
      </c>
      <c r="K55" s="53">
        <f t="shared" si="5"/>
        <v>-766383000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766</v>
      </c>
      <c r="H56" s="36">
        <f t="shared" si="2"/>
        <v>0</v>
      </c>
      <c r="I56" s="11">
        <f t="shared" si="3"/>
        <v>-29108000</v>
      </c>
      <c r="J56" s="53">
        <f t="shared" si="4"/>
        <v>0</v>
      </c>
      <c r="K56" s="53">
        <f t="shared" si="5"/>
        <v>-29108000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766</v>
      </c>
      <c r="H57" s="36">
        <f t="shared" si="2"/>
        <v>0</v>
      </c>
      <c r="I57" s="11">
        <f t="shared" si="3"/>
        <v>-80430000</v>
      </c>
      <c r="J57" s="53">
        <f t="shared" si="4"/>
        <v>0</v>
      </c>
      <c r="K57" s="53">
        <f t="shared" si="5"/>
        <v>-80430000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766</v>
      </c>
      <c r="H58" s="36">
        <f t="shared" si="2"/>
        <v>0</v>
      </c>
      <c r="I58" s="11">
        <f t="shared" si="3"/>
        <v>-45960000</v>
      </c>
      <c r="J58" s="53">
        <f t="shared" si="4"/>
        <v>0</v>
      </c>
      <c r="K58" s="53">
        <f t="shared" si="5"/>
        <v>-45960000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763</v>
      </c>
      <c r="H59" s="36">
        <f t="shared" si="2"/>
        <v>1</v>
      </c>
      <c r="I59" s="11">
        <f t="shared" si="3"/>
        <v>762000000</v>
      </c>
      <c r="J59" s="53">
        <f t="shared" si="4"/>
        <v>762000000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762</v>
      </c>
      <c r="H60" s="36">
        <f t="shared" si="2"/>
        <v>1</v>
      </c>
      <c r="I60" s="11">
        <f t="shared" si="3"/>
        <v>2663500000</v>
      </c>
      <c r="J60" s="53">
        <f t="shared" si="4"/>
        <v>2663500000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760</v>
      </c>
      <c r="H61" s="36">
        <f t="shared" si="2"/>
        <v>1</v>
      </c>
      <c r="I61" s="11">
        <f t="shared" si="3"/>
        <v>759000000</v>
      </c>
      <c r="J61" s="53">
        <f t="shared" si="4"/>
        <v>759000000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760</v>
      </c>
      <c r="H62" s="36">
        <f t="shared" si="2"/>
        <v>1</v>
      </c>
      <c r="I62" s="11">
        <f t="shared" si="3"/>
        <v>2277000000</v>
      </c>
      <c r="J62" s="53">
        <f t="shared" si="4"/>
        <v>2277000000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758</v>
      </c>
      <c r="H63" s="36">
        <f t="shared" si="2"/>
        <v>0</v>
      </c>
      <c r="I63" s="11">
        <f t="shared" si="3"/>
        <v>-151600000</v>
      </c>
      <c r="J63" s="53">
        <f t="shared" si="4"/>
        <v>0</v>
      </c>
      <c r="K63" s="53">
        <f t="shared" si="5"/>
        <v>-151600000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753</v>
      </c>
      <c r="H64" s="36">
        <f t="shared" si="2"/>
        <v>0</v>
      </c>
      <c r="I64" s="11">
        <f t="shared" si="3"/>
        <v>-37650000</v>
      </c>
      <c r="J64" s="53">
        <f t="shared" si="4"/>
        <v>0</v>
      </c>
      <c r="K64" s="53">
        <f t="shared" si="5"/>
        <v>-37650000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749</v>
      </c>
      <c r="H65" s="36">
        <f t="shared" si="2"/>
        <v>0</v>
      </c>
      <c r="I65" s="11">
        <f t="shared" si="3"/>
        <v>-149800000</v>
      </c>
      <c r="J65" s="53">
        <f t="shared" si="4"/>
        <v>0</v>
      </c>
      <c r="K65" s="53">
        <f t="shared" si="5"/>
        <v>-149800000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746</v>
      </c>
      <c r="H66" s="36">
        <f t="shared" si="2"/>
        <v>0</v>
      </c>
      <c r="I66" s="11">
        <f t="shared" si="3"/>
        <v>-126820000</v>
      </c>
      <c r="J66" s="53">
        <f t="shared" si="4"/>
        <v>0</v>
      </c>
      <c r="K66" s="53">
        <f t="shared" si="5"/>
        <v>-126820000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745</v>
      </c>
      <c r="H67" s="36">
        <f t="shared" ref="H67:H131" si="8">IF(B67&gt;0,1,0)</f>
        <v>1</v>
      </c>
      <c r="I67" s="11">
        <f t="shared" ref="I67:I119" si="9">B67*(G67-H67)</f>
        <v>67945800</v>
      </c>
      <c r="J67" s="53">
        <f t="shared" ref="J67:J131" si="10">C67*(G67-H67)</f>
        <v>48897912</v>
      </c>
      <c r="K67" s="53">
        <f t="shared" ref="K67:K131" si="11">D67*(G67-H67)</f>
        <v>19047888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727</v>
      </c>
      <c r="H68" s="36">
        <f t="shared" si="8"/>
        <v>0</v>
      </c>
      <c r="I68" s="11">
        <f t="shared" si="9"/>
        <v>-105415000</v>
      </c>
      <c r="J68" s="53">
        <f t="shared" si="10"/>
        <v>0</v>
      </c>
      <c r="K68" s="53">
        <f t="shared" si="11"/>
        <v>-105415000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720</v>
      </c>
      <c r="H69" s="36">
        <f t="shared" si="8"/>
        <v>1</v>
      </c>
      <c r="I69" s="11">
        <f t="shared" si="9"/>
        <v>704620000</v>
      </c>
      <c r="J69" s="53">
        <f t="shared" si="10"/>
        <v>0</v>
      </c>
      <c r="K69" s="53">
        <f t="shared" si="11"/>
        <v>704620000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717</v>
      </c>
      <c r="H70" s="36">
        <f t="shared" si="8"/>
        <v>0</v>
      </c>
      <c r="I70" s="11">
        <f t="shared" si="9"/>
        <v>-32982000</v>
      </c>
      <c r="J70" s="53">
        <f t="shared" si="10"/>
        <v>0</v>
      </c>
      <c r="K70" s="53">
        <f t="shared" si="11"/>
        <v>-32982000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715</v>
      </c>
      <c r="H71" s="36">
        <f t="shared" si="8"/>
        <v>1</v>
      </c>
      <c r="I71" s="11">
        <f t="shared" si="9"/>
        <v>82351332</v>
      </c>
      <c r="J71" s="53">
        <f t="shared" si="10"/>
        <v>74121768</v>
      </c>
      <c r="K71" s="53">
        <f t="shared" si="11"/>
        <v>8229564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714</v>
      </c>
      <c r="H72" s="36">
        <f t="shared" si="8"/>
        <v>0</v>
      </c>
      <c r="I72" s="11">
        <f t="shared" si="9"/>
        <v>-108505866</v>
      </c>
      <c r="J72" s="53">
        <f t="shared" si="10"/>
        <v>0</v>
      </c>
      <c r="K72" s="53">
        <f t="shared" si="11"/>
        <v>-108505866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713</v>
      </c>
      <c r="H73" s="36">
        <f t="shared" si="8"/>
        <v>0</v>
      </c>
      <c r="I73" s="11">
        <f t="shared" si="9"/>
        <v>-574321500</v>
      </c>
      <c r="J73" s="53">
        <f t="shared" si="10"/>
        <v>0</v>
      </c>
      <c r="K73" s="53">
        <f t="shared" si="11"/>
        <v>-574321500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706</v>
      </c>
      <c r="H74" s="36">
        <f t="shared" si="8"/>
        <v>1</v>
      </c>
      <c r="I74" s="11">
        <f t="shared" si="9"/>
        <v>4931475000</v>
      </c>
      <c r="J74" s="53">
        <f t="shared" si="10"/>
        <v>0</v>
      </c>
      <c r="K74" s="53">
        <f t="shared" si="11"/>
        <v>4931475000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705</v>
      </c>
      <c r="H75" s="36">
        <f t="shared" si="8"/>
        <v>1</v>
      </c>
      <c r="I75" s="11">
        <f t="shared" si="9"/>
        <v>2112000000</v>
      </c>
      <c r="J75" s="53">
        <f t="shared" si="10"/>
        <v>0</v>
      </c>
      <c r="K75" s="53">
        <f t="shared" si="11"/>
        <v>2112000000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703</v>
      </c>
      <c r="H76" s="36">
        <f t="shared" si="8"/>
        <v>1</v>
      </c>
      <c r="I76" s="11">
        <f t="shared" si="9"/>
        <v>2106000000</v>
      </c>
      <c r="J76" s="53">
        <f t="shared" si="10"/>
        <v>0</v>
      </c>
      <c r="K76" s="53">
        <f t="shared" si="11"/>
        <v>2106000000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702</v>
      </c>
      <c r="H77" s="36">
        <f t="shared" si="8"/>
        <v>1</v>
      </c>
      <c r="I77" s="11">
        <f t="shared" si="9"/>
        <v>2103000000</v>
      </c>
      <c r="J77" s="53">
        <f t="shared" si="10"/>
        <v>0</v>
      </c>
      <c r="K77" s="53">
        <f t="shared" si="11"/>
        <v>2103000000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701</v>
      </c>
      <c r="H78" s="36">
        <f t="shared" si="8"/>
        <v>0</v>
      </c>
      <c r="I78" s="11">
        <f t="shared" si="9"/>
        <v>-2243200000</v>
      </c>
      <c r="J78" s="53">
        <f t="shared" si="10"/>
        <v>-2243200000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700</v>
      </c>
      <c r="H79" s="36">
        <f t="shared" si="8"/>
        <v>0</v>
      </c>
      <c r="I79" s="11">
        <f t="shared" si="9"/>
        <v>-560000000</v>
      </c>
      <c r="J79" s="53">
        <f t="shared" si="10"/>
        <v>-560000000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699</v>
      </c>
      <c r="H80" s="36">
        <f t="shared" si="8"/>
        <v>0</v>
      </c>
      <c r="I80" s="11">
        <f t="shared" si="9"/>
        <v>-33826707</v>
      </c>
      <c r="J80" s="53">
        <f t="shared" si="10"/>
        <v>0</v>
      </c>
      <c r="K80" s="53">
        <f t="shared" si="11"/>
        <v>-33826707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698</v>
      </c>
      <c r="H81" s="36">
        <f t="shared" si="8"/>
        <v>0</v>
      </c>
      <c r="I81" s="11">
        <f t="shared" si="9"/>
        <v>-97720000</v>
      </c>
      <c r="J81" s="53">
        <f t="shared" si="10"/>
        <v>0</v>
      </c>
      <c r="K81" s="53">
        <f t="shared" si="11"/>
        <v>-97720000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697</v>
      </c>
      <c r="H82" s="36">
        <f t="shared" si="8"/>
        <v>0</v>
      </c>
      <c r="I82" s="11">
        <f t="shared" si="9"/>
        <v>-174250000</v>
      </c>
      <c r="J82" s="53">
        <f t="shared" si="10"/>
        <v>0</v>
      </c>
      <c r="K82" s="53">
        <f t="shared" si="11"/>
        <v>-174250000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696</v>
      </c>
      <c r="H83" s="36">
        <f t="shared" si="8"/>
        <v>0</v>
      </c>
      <c r="I83" s="11">
        <f t="shared" si="9"/>
        <v>-139200000</v>
      </c>
      <c r="J83" s="53">
        <f t="shared" si="10"/>
        <v>0</v>
      </c>
      <c r="K83" s="53">
        <f t="shared" si="11"/>
        <v>-139200000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693</v>
      </c>
      <c r="H84" s="36">
        <f t="shared" si="8"/>
        <v>1</v>
      </c>
      <c r="I84" s="11">
        <f t="shared" si="9"/>
        <v>1131558400</v>
      </c>
      <c r="J84" s="53">
        <f t="shared" si="10"/>
        <v>0</v>
      </c>
      <c r="K84" s="53">
        <f t="shared" si="11"/>
        <v>1131558400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689</v>
      </c>
      <c r="H85" s="36">
        <f t="shared" si="8"/>
        <v>1</v>
      </c>
      <c r="I85" s="11">
        <f t="shared" si="9"/>
        <v>1720000000</v>
      </c>
      <c r="J85" s="53">
        <f t="shared" si="10"/>
        <v>0</v>
      </c>
      <c r="K85" s="53">
        <f t="shared" si="11"/>
        <v>1720000000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685</v>
      </c>
      <c r="H86" s="36">
        <f t="shared" si="8"/>
        <v>1</v>
      </c>
      <c r="I86" s="11">
        <f t="shared" si="9"/>
        <v>127429200</v>
      </c>
      <c r="J86" s="53">
        <f t="shared" si="10"/>
        <v>58105800</v>
      </c>
      <c r="K86" s="53">
        <f t="shared" si="11"/>
        <v>69323400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682</v>
      </c>
      <c r="H87" s="36">
        <f t="shared" si="8"/>
        <v>0</v>
      </c>
      <c r="I87" s="11">
        <f t="shared" si="9"/>
        <v>-136400000</v>
      </c>
      <c r="J87" s="53">
        <f t="shared" si="10"/>
        <v>0</v>
      </c>
      <c r="K87" s="53">
        <f t="shared" si="11"/>
        <v>-136400000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681</v>
      </c>
      <c r="H88" s="36">
        <f t="shared" si="8"/>
        <v>0</v>
      </c>
      <c r="I88" s="11">
        <f t="shared" si="9"/>
        <v>-80358000</v>
      </c>
      <c r="J88" s="53">
        <f t="shared" si="10"/>
        <v>-46989000</v>
      </c>
      <c r="K88" s="53">
        <f t="shared" si="11"/>
        <v>-33369000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673</v>
      </c>
      <c r="H89" s="36">
        <f t="shared" si="8"/>
        <v>0</v>
      </c>
      <c r="I89" s="11">
        <f t="shared" si="9"/>
        <v>-2154205700</v>
      </c>
      <c r="J89" s="53">
        <f t="shared" si="10"/>
        <v>0</v>
      </c>
      <c r="K89" s="53">
        <f t="shared" si="11"/>
        <v>-2154205700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672</v>
      </c>
      <c r="H90" s="36">
        <f t="shared" si="8"/>
        <v>0</v>
      </c>
      <c r="I90" s="11">
        <f t="shared" si="9"/>
        <v>-2151004800</v>
      </c>
      <c r="J90" s="53">
        <f t="shared" si="10"/>
        <v>0</v>
      </c>
      <c r="K90" s="53">
        <f t="shared" si="11"/>
        <v>-2151004800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671</v>
      </c>
      <c r="H91" s="36">
        <f t="shared" si="8"/>
        <v>0</v>
      </c>
      <c r="I91" s="11">
        <f t="shared" si="9"/>
        <v>-2147803900</v>
      </c>
      <c r="J91" s="53">
        <f t="shared" si="10"/>
        <v>0</v>
      </c>
      <c r="K91" s="53">
        <f t="shared" si="11"/>
        <v>-2147803900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670</v>
      </c>
      <c r="H92" s="36">
        <f t="shared" si="8"/>
        <v>0</v>
      </c>
      <c r="I92" s="11">
        <f t="shared" si="9"/>
        <v>-2144603000</v>
      </c>
      <c r="J92" s="53">
        <f t="shared" si="10"/>
        <v>0</v>
      </c>
      <c r="K92" s="53">
        <f t="shared" si="11"/>
        <v>-2144603000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669</v>
      </c>
      <c r="H93" s="36">
        <f t="shared" si="8"/>
        <v>0</v>
      </c>
      <c r="I93" s="11">
        <f t="shared" si="9"/>
        <v>-2141402100</v>
      </c>
      <c r="J93" s="53">
        <f t="shared" si="10"/>
        <v>0</v>
      </c>
      <c r="K93" s="53">
        <f t="shared" si="11"/>
        <v>-2141402100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668</v>
      </c>
      <c r="H94" s="36">
        <f t="shared" si="8"/>
        <v>0</v>
      </c>
      <c r="I94" s="11">
        <f t="shared" si="9"/>
        <v>-2138201200</v>
      </c>
      <c r="J94" s="53">
        <f t="shared" si="10"/>
        <v>0</v>
      </c>
      <c r="K94" s="53">
        <f t="shared" si="11"/>
        <v>-2138201200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666</v>
      </c>
      <c r="H95" s="36">
        <f t="shared" si="8"/>
        <v>0</v>
      </c>
      <c r="I95" s="11">
        <f t="shared" si="9"/>
        <v>-796932936</v>
      </c>
      <c r="J95" s="53">
        <f t="shared" si="10"/>
        <v>0</v>
      </c>
      <c r="K95" s="53">
        <f t="shared" si="11"/>
        <v>-796932936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656</v>
      </c>
      <c r="H96" s="36">
        <f t="shared" si="8"/>
        <v>0</v>
      </c>
      <c r="I96" s="11">
        <f t="shared" si="9"/>
        <v>-131200000</v>
      </c>
      <c r="J96" s="53">
        <f t="shared" si="10"/>
        <v>0</v>
      </c>
      <c r="K96" s="53">
        <f t="shared" si="11"/>
        <v>-131200000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655</v>
      </c>
      <c r="H97" s="36">
        <f t="shared" si="8"/>
        <v>1</v>
      </c>
      <c r="I97" s="11">
        <f t="shared" si="9"/>
        <v>104350932</v>
      </c>
      <c r="J97" s="53">
        <f t="shared" si="10"/>
        <v>45077604</v>
      </c>
      <c r="K97" s="53">
        <f t="shared" si="11"/>
        <v>59273328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650</v>
      </c>
      <c r="H98" s="36">
        <f t="shared" si="8"/>
        <v>1</v>
      </c>
      <c r="I98" s="11">
        <f t="shared" si="9"/>
        <v>74224832</v>
      </c>
      <c r="J98" s="53">
        <f t="shared" si="10"/>
        <v>0</v>
      </c>
      <c r="K98" s="53">
        <f t="shared" si="11"/>
        <v>74224832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647</v>
      </c>
      <c r="H99" s="36">
        <f t="shared" si="8"/>
        <v>0</v>
      </c>
      <c r="I99" s="11">
        <f t="shared" si="9"/>
        <v>-857275000</v>
      </c>
      <c r="J99" s="53">
        <f t="shared" si="10"/>
        <v>0</v>
      </c>
      <c r="K99" s="53">
        <f t="shared" si="11"/>
        <v>-857275000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642</v>
      </c>
      <c r="H100" s="36">
        <f t="shared" si="8"/>
        <v>1</v>
      </c>
      <c r="I100" s="11">
        <f t="shared" si="9"/>
        <v>849325000</v>
      </c>
      <c r="J100" s="53">
        <f t="shared" si="10"/>
        <v>0</v>
      </c>
      <c r="K100" s="53">
        <f t="shared" si="11"/>
        <v>849325000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625</v>
      </c>
      <c r="H101" s="36">
        <f t="shared" si="8"/>
        <v>1</v>
      </c>
      <c r="I101" s="11">
        <f t="shared" si="9"/>
        <v>41711280</v>
      </c>
      <c r="J101" s="53">
        <f t="shared" si="10"/>
        <v>41711280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622</v>
      </c>
      <c r="H102" s="36">
        <f t="shared" si="8"/>
        <v>1</v>
      </c>
      <c r="I102" s="11">
        <f t="shared" si="9"/>
        <v>1863000000</v>
      </c>
      <c r="J102" s="53">
        <f t="shared" si="10"/>
        <v>0</v>
      </c>
      <c r="K102" s="53">
        <f t="shared" si="11"/>
        <v>1863000000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615</v>
      </c>
      <c r="H103" s="36">
        <f t="shared" si="8"/>
        <v>0</v>
      </c>
      <c r="I103" s="11">
        <f t="shared" si="9"/>
        <v>-615000000</v>
      </c>
      <c r="J103" s="53">
        <f t="shared" si="10"/>
        <v>-615000000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605</v>
      </c>
      <c r="H104" s="36">
        <f t="shared" si="8"/>
        <v>1</v>
      </c>
      <c r="I104" s="11">
        <f t="shared" si="9"/>
        <v>1812000000</v>
      </c>
      <c r="J104" s="53">
        <f t="shared" si="10"/>
        <v>1812000000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604</v>
      </c>
      <c r="H105" s="36">
        <f t="shared" si="8"/>
        <v>1</v>
      </c>
      <c r="I105" s="11">
        <f t="shared" si="9"/>
        <v>675360000</v>
      </c>
      <c r="J105" s="53">
        <f t="shared" si="10"/>
        <v>675360000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604</v>
      </c>
      <c r="H106" s="36">
        <f t="shared" si="8"/>
        <v>0</v>
      </c>
      <c r="I106" s="11">
        <f t="shared" si="9"/>
        <v>-1812000000</v>
      </c>
      <c r="J106" s="53">
        <f t="shared" si="10"/>
        <v>0</v>
      </c>
      <c r="K106" s="53">
        <f t="shared" si="11"/>
        <v>-1812000000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595</v>
      </c>
      <c r="H107" s="36">
        <f t="shared" si="8"/>
        <v>1</v>
      </c>
      <c r="I107" s="11">
        <f t="shared" si="9"/>
        <v>53753436</v>
      </c>
      <c r="J107" s="53">
        <f t="shared" si="10"/>
        <v>44618310</v>
      </c>
      <c r="K107" s="53">
        <f t="shared" si="11"/>
        <v>9135126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593</v>
      </c>
      <c r="H108" s="36">
        <f t="shared" si="8"/>
        <v>0</v>
      </c>
      <c r="I108" s="11">
        <f t="shared" si="9"/>
        <v>-1008515100</v>
      </c>
      <c r="J108" s="53">
        <f t="shared" si="10"/>
        <v>0</v>
      </c>
      <c r="K108" s="53">
        <f t="shared" si="11"/>
        <v>-1008515100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589</v>
      </c>
      <c r="H109" s="36">
        <f t="shared" si="8"/>
        <v>0</v>
      </c>
      <c r="I109" s="11">
        <f t="shared" si="9"/>
        <v>-589294500</v>
      </c>
      <c r="J109" s="53">
        <f t="shared" si="10"/>
        <v>0</v>
      </c>
      <c r="K109" s="53">
        <f t="shared" si="11"/>
        <v>-589294500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586</v>
      </c>
      <c r="H110" s="36">
        <f t="shared" si="8"/>
        <v>1</v>
      </c>
      <c r="I110" s="11">
        <f t="shared" si="9"/>
        <v>11700000000</v>
      </c>
      <c r="J110" s="53">
        <f t="shared" si="10"/>
        <v>0</v>
      </c>
      <c r="K110" s="53">
        <f t="shared" si="11"/>
        <v>11700000000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566</v>
      </c>
      <c r="H111" s="36">
        <f t="shared" si="8"/>
        <v>1</v>
      </c>
      <c r="I111" s="11">
        <f t="shared" si="9"/>
        <v>98693070</v>
      </c>
      <c r="J111" s="53">
        <f t="shared" si="10"/>
        <v>49360095</v>
      </c>
      <c r="K111" s="53">
        <f t="shared" si="11"/>
        <v>49332975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550</v>
      </c>
      <c r="H112" s="36">
        <f t="shared" si="8"/>
        <v>0</v>
      </c>
      <c r="I112" s="11">
        <f t="shared" si="9"/>
        <v>-15620000000</v>
      </c>
      <c r="J112" s="53">
        <f t="shared" si="10"/>
        <v>0</v>
      </c>
      <c r="K112" s="53">
        <f t="shared" si="11"/>
        <v>-15620000000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535</v>
      </c>
      <c r="H113" s="36">
        <f t="shared" si="8"/>
        <v>1</v>
      </c>
      <c r="I113" s="11">
        <f t="shared" si="9"/>
        <v>87063360</v>
      </c>
      <c r="J113" s="53">
        <f t="shared" si="10"/>
        <v>65420874</v>
      </c>
      <c r="K113" s="53">
        <f t="shared" si="11"/>
        <v>21642486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535</v>
      </c>
      <c r="H114" s="36">
        <f t="shared" si="8"/>
        <v>0</v>
      </c>
      <c r="I114" s="11">
        <f t="shared" si="9"/>
        <v>-3049500</v>
      </c>
      <c r="J114" s="53">
        <f t="shared" si="10"/>
        <v>-1337500</v>
      </c>
      <c r="K114" s="53">
        <f t="shared" si="11"/>
        <v>-1712000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522</v>
      </c>
      <c r="H115" s="36">
        <f t="shared" si="8"/>
        <v>0</v>
      </c>
      <c r="I115" s="11">
        <f t="shared" si="9"/>
        <v>0</v>
      </c>
      <c r="J115" s="53">
        <f t="shared" si="10"/>
        <v>261000000</v>
      </c>
      <c r="K115" s="53">
        <f t="shared" si="11"/>
        <v>-261000000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514</v>
      </c>
      <c r="H116" s="36">
        <f t="shared" si="8"/>
        <v>0</v>
      </c>
      <c r="I116" s="11">
        <f t="shared" si="9"/>
        <v>-82240000</v>
      </c>
      <c r="J116" s="53">
        <f t="shared" si="10"/>
        <v>0</v>
      </c>
      <c r="K116" s="53">
        <f t="shared" si="11"/>
        <v>-82240000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505</v>
      </c>
      <c r="H117" s="36">
        <f t="shared" si="8"/>
        <v>1</v>
      </c>
      <c r="I117" s="11">
        <f t="shared" si="9"/>
        <v>745920</v>
      </c>
      <c r="J117" s="53">
        <f t="shared" si="10"/>
        <v>53898264</v>
      </c>
      <c r="K117" s="53">
        <f t="shared" si="11"/>
        <v>-53152344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483</v>
      </c>
      <c r="H118" s="36">
        <f t="shared" si="8"/>
        <v>1</v>
      </c>
      <c r="I118" s="11">
        <f t="shared" si="9"/>
        <v>18990559000</v>
      </c>
      <c r="J118" s="53">
        <f t="shared" si="10"/>
        <v>0</v>
      </c>
      <c r="K118" s="53">
        <f t="shared" si="11"/>
        <v>18990559000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474</v>
      </c>
      <c r="H119" s="36">
        <f t="shared" si="8"/>
        <v>1</v>
      </c>
      <c r="I119" s="11">
        <f t="shared" si="9"/>
        <v>45181433</v>
      </c>
      <c r="J119" s="53">
        <f t="shared" si="10"/>
        <v>52055542</v>
      </c>
      <c r="K119" s="53">
        <f t="shared" si="11"/>
        <v>-6874109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470</v>
      </c>
      <c r="H120" s="11">
        <f t="shared" si="8"/>
        <v>1</v>
      </c>
      <c r="I120" s="11">
        <f t="shared" ref="I120:I266" si="13">B120*(G120-H120)</f>
        <v>938000000</v>
      </c>
      <c r="J120" s="11">
        <f t="shared" si="10"/>
        <v>0</v>
      </c>
      <c r="K120" s="11">
        <f t="shared" si="11"/>
        <v>938000000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444</v>
      </c>
      <c r="H121" s="11">
        <f t="shared" si="8"/>
        <v>1</v>
      </c>
      <c r="I121" s="11">
        <f t="shared" si="13"/>
        <v>1151800000</v>
      </c>
      <c r="J121" s="11">
        <f t="shared" si="10"/>
        <v>0</v>
      </c>
      <c r="K121" s="11">
        <f t="shared" si="11"/>
        <v>1151800000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443</v>
      </c>
      <c r="H122" s="11">
        <f t="shared" si="8"/>
        <v>1</v>
      </c>
      <c r="I122" s="11">
        <f t="shared" si="13"/>
        <v>169971542</v>
      </c>
      <c r="J122" s="11">
        <f t="shared" si="10"/>
        <v>49021336</v>
      </c>
      <c r="K122" s="11">
        <f t="shared" si="11"/>
        <v>120950206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442</v>
      </c>
      <c r="H123" s="11">
        <f t="shared" si="8"/>
        <v>0</v>
      </c>
      <c r="I123" s="11">
        <f t="shared" si="13"/>
        <v>0</v>
      </c>
      <c r="J123" s="11">
        <f t="shared" si="10"/>
        <v>353600000</v>
      </c>
      <c r="K123" s="11">
        <f t="shared" si="11"/>
        <v>-353600000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428</v>
      </c>
      <c r="H124" s="11">
        <f t="shared" si="8"/>
        <v>0</v>
      </c>
      <c r="I124" s="11">
        <f t="shared" si="13"/>
        <v>-1284000000</v>
      </c>
      <c r="J124" s="11">
        <f t="shared" si="10"/>
        <v>0</v>
      </c>
      <c r="K124" s="11">
        <f t="shared" si="11"/>
        <v>-1284000000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413</v>
      </c>
      <c r="H125" s="11">
        <f t="shared" si="8"/>
        <v>1</v>
      </c>
      <c r="I125" s="11">
        <f t="shared" si="13"/>
        <v>165092520</v>
      </c>
      <c r="J125" s="11">
        <f t="shared" si="10"/>
        <v>48976500</v>
      </c>
      <c r="K125" s="11">
        <f t="shared" si="11"/>
        <v>116116020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413</v>
      </c>
      <c r="H126" s="11">
        <f t="shared" si="8"/>
        <v>1</v>
      </c>
      <c r="I126" s="11">
        <f t="shared" si="13"/>
        <v>17304000000</v>
      </c>
      <c r="J126" s="11">
        <f t="shared" si="10"/>
        <v>0</v>
      </c>
      <c r="K126" s="11">
        <f t="shared" si="11"/>
        <v>17304000000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388</v>
      </c>
      <c r="H127" s="11">
        <f t="shared" si="8"/>
        <v>0</v>
      </c>
      <c r="I127" s="11">
        <f t="shared" si="13"/>
        <v>-1940000</v>
      </c>
      <c r="J127" s="11">
        <f t="shared" si="10"/>
        <v>0</v>
      </c>
      <c r="K127" s="11">
        <f t="shared" si="11"/>
        <v>-1940000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382</v>
      </c>
      <c r="H128" s="11">
        <f t="shared" si="8"/>
        <v>1</v>
      </c>
      <c r="I128" s="11">
        <f t="shared" si="13"/>
        <v>293893494</v>
      </c>
      <c r="J128" s="11">
        <f t="shared" si="10"/>
        <v>45985557</v>
      </c>
      <c r="K128" s="11">
        <f t="shared" si="11"/>
        <v>247907937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379</v>
      </c>
      <c r="H129" s="11">
        <f t="shared" si="8"/>
        <v>1</v>
      </c>
      <c r="I129" s="11">
        <f t="shared" si="13"/>
        <v>945000000</v>
      </c>
      <c r="J129" s="11">
        <f t="shared" si="10"/>
        <v>0</v>
      </c>
      <c r="K129" s="11">
        <f t="shared" si="11"/>
        <v>945000000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365</v>
      </c>
      <c r="H130" s="11">
        <f t="shared" si="8"/>
        <v>0</v>
      </c>
      <c r="I130" s="11">
        <f t="shared" si="13"/>
        <v>-365000000</v>
      </c>
      <c r="J130" s="11">
        <f t="shared" si="10"/>
        <v>-365000000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360</v>
      </c>
      <c r="H131" s="11">
        <f t="shared" si="8"/>
        <v>0</v>
      </c>
      <c r="I131" s="11">
        <f t="shared" si="13"/>
        <v>-18000000000</v>
      </c>
      <c r="J131" s="11">
        <f t="shared" si="10"/>
        <v>0</v>
      </c>
      <c r="K131" s="11">
        <f t="shared" si="11"/>
        <v>-18000000000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352</v>
      </c>
      <c r="H132" s="11">
        <f t="shared" ref="H132:H266" si="15">IF(B132&gt;0,1,0)</f>
        <v>1</v>
      </c>
      <c r="I132" s="11">
        <f t="shared" si="13"/>
        <v>215614737</v>
      </c>
      <c r="J132" s="11">
        <f t="shared" ref="J132:J206" si="16">C132*(G132-H132)</f>
        <v>37195821</v>
      </c>
      <c r="K132" s="11">
        <f t="shared" ref="K132:K266" si="17">D132*(G132-H132)</f>
        <v>178418916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348</v>
      </c>
      <c r="H133" s="11">
        <f t="shared" si="15"/>
        <v>0</v>
      </c>
      <c r="I133" s="11">
        <f t="shared" si="13"/>
        <v>-421323600</v>
      </c>
      <c r="J133" s="11">
        <f t="shared" si="16"/>
        <v>0</v>
      </c>
      <c r="K133" s="11">
        <f t="shared" si="17"/>
        <v>-421323600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339</v>
      </c>
      <c r="H134" s="11">
        <f t="shared" si="15"/>
        <v>0</v>
      </c>
      <c r="I134" s="11">
        <f t="shared" si="13"/>
        <v>-22035000</v>
      </c>
      <c r="J134" s="11">
        <f t="shared" si="16"/>
        <v>0</v>
      </c>
      <c r="K134" s="11">
        <f t="shared" si="17"/>
        <v>-22035000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339</v>
      </c>
      <c r="H135" s="11">
        <f t="shared" si="15"/>
        <v>0</v>
      </c>
      <c r="I135" s="11">
        <f t="shared" si="13"/>
        <v>-10949700</v>
      </c>
      <c r="J135" s="11">
        <f t="shared" si="16"/>
        <v>0</v>
      </c>
      <c r="K135" s="11">
        <f t="shared" si="17"/>
        <v>-10949700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331</v>
      </c>
      <c r="H136" s="11">
        <f t="shared" si="15"/>
        <v>0</v>
      </c>
      <c r="I136" s="11">
        <f t="shared" si="13"/>
        <v>-331000000</v>
      </c>
      <c r="J136" s="11">
        <f t="shared" si="16"/>
        <v>-331000000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322</v>
      </c>
      <c r="H137" s="11">
        <f t="shared" si="15"/>
        <v>1</v>
      </c>
      <c r="I137" s="11">
        <f t="shared" si="13"/>
        <v>93370233</v>
      </c>
      <c r="J137" s="11">
        <f t="shared" si="16"/>
        <v>31252239</v>
      </c>
      <c r="K137" s="11">
        <f t="shared" si="17"/>
        <v>62117994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305</v>
      </c>
      <c r="H138" s="11">
        <f t="shared" si="15"/>
        <v>0</v>
      </c>
      <c r="I138" s="11">
        <f t="shared" si="13"/>
        <v>-305152500</v>
      </c>
      <c r="J138" s="11">
        <f t="shared" si="16"/>
        <v>-305152500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293</v>
      </c>
      <c r="H139" s="11">
        <f t="shared" si="15"/>
        <v>1</v>
      </c>
      <c r="I139" s="11">
        <f t="shared" si="13"/>
        <v>82414080</v>
      </c>
      <c r="J139" s="11">
        <f t="shared" si="16"/>
        <v>25931644</v>
      </c>
      <c r="K139" s="11">
        <f t="shared" si="17"/>
        <v>56482436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290</v>
      </c>
      <c r="H140" s="11">
        <f t="shared" si="15"/>
        <v>1</v>
      </c>
      <c r="I140" s="11">
        <f t="shared" si="13"/>
        <v>433500000</v>
      </c>
      <c r="J140" s="11">
        <f t="shared" si="16"/>
        <v>0</v>
      </c>
      <c r="K140" s="11">
        <f t="shared" si="17"/>
        <v>433500000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277</v>
      </c>
      <c r="H141" s="11">
        <f t="shared" si="15"/>
        <v>0</v>
      </c>
      <c r="I141" s="11">
        <f t="shared" si="13"/>
        <v>0</v>
      </c>
      <c r="J141" s="11">
        <f t="shared" si="16"/>
        <v>-277000000</v>
      </c>
      <c r="K141" s="11">
        <f t="shared" si="17"/>
        <v>277000000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263</v>
      </c>
      <c r="H142" s="11">
        <f t="shared" si="15"/>
        <v>1</v>
      </c>
      <c r="I142" s="11">
        <f t="shared" si="13"/>
        <v>76213966</v>
      </c>
      <c r="J142" s="11">
        <f t="shared" si="16"/>
        <v>21227764</v>
      </c>
      <c r="K142" s="11">
        <f t="shared" si="17"/>
        <v>54986202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243</v>
      </c>
      <c r="H143" s="11">
        <f t="shared" si="15"/>
        <v>0</v>
      </c>
      <c r="I143" s="11">
        <f t="shared" si="13"/>
        <v>0</v>
      </c>
      <c r="J143" s="11">
        <f t="shared" si="16"/>
        <v>-243000000</v>
      </c>
      <c r="K143" s="11">
        <f t="shared" si="17"/>
        <v>243000000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233</v>
      </c>
      <c r="H144" s="11">
        <f t="shared" si="15"/>
        <v>1</v>
      </c>
      <c r="I144" s="11">
        <f t="shared" si="13"/>
        <v>68405664</v>
      </c>
      <c r="J144" s="11">
        <f t="shared" si="16"/>
        <v>17320424</v>
      </c>
      <c r="K144" s="11">
        <f t="shared" si="17"/>
        <v>51085240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218</v>
      </c>
      <c r="H145" s="11">
        <f t="shared" si="15"/>
        <v>0</v>
      </c>
      <c r="I145" s="11">
        <f t="shared" si="13"/>
        <v>-2180000</v>
      </c>
      <c r="J145" s="11">
        <f t="shared" si="16"/>
        <v>-1090000</v>
      </c>
      <c r="K145" s="11">
        <f t="shared" si="17"/>
        <v>-1090000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213</v>
      </c>
      <c r="H146" s="11">
        <f t="shared" si="15"/>
        <v>0</v>
      </c>
      <c r="I146" s="11">
        <f t="shared" si="13"/>
        <v>-213106500</v>
      </c>
      <c r="J146" s="11">
        <f t="shared" si="16"/>
        <v>-213106500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207</v>
      </c>
      <c r="H147" s="11">
        <f t="shared" si="15"/>
        <v>0</v>
      </c>
      <c r="I147" s="11">
        <f t="shared" si="13"/>
        <v>-5589000000</v>
      </c>
      <c r="J147" s="11">
        <f t="shared" si="16"/>
        <v>0</v>
      </c>
      <c r="K147" s="11">
        <f t="shared" si="17"/>
        <v>-5589000000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204</v>
      </c>
      <c r="H148" s="11">
        <f t="shared" si="15"/>
        <v>1</v>
      </c>
      <c r="I148" s="11">
        <f t="shared" si="13"/>
        <v>51244508</v>
      </c>
      <c r="J148" s="11">
        <f t="shared" si="16"/>
        <v>13298530</v>
      </c>
      <c r="K148" s="11">
        <f t="shared" si="17"/>
        <v>37945978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196</v>
      </c>
      <c r="H149" s="11">
        <f t="shared" si="15"/>
        <v>1</v>
      </c>
      <c r="I149" s="11">
        <f t="shared" si="13"/>
        <v>10218000000</v>
      </c>
      <c r="J149" s="11">
        <f t="shared" si="16"/>
        <v>0</v>
      </c>
      <c r="K149" s="11">
        <f t="shared" si="17"/>
        <v>10218000000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189</v>
      </c>
      <c r="H150" s="11">
        <f t="shared" si="15"/>
        <v>0</v>
      </c>
      <c r="I150" s="11">
        <f t="shared" si="13"/>
        <v>-9828000000</v>
      </c>
      <c r="J150" s="11">
        <f t="shared" si="16"/>
        <v>0</v>
      </c>
      <c r="K150" s="11">
        <f t="shared" si="17"/>
        <v>-9828000000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184</v>
      </c>
      <c r="H151" s="99">
        <f t="shared" si="15"/>
        <v>0</v>
      </c>
      <c r="I151" s="99">
        <f t="shared" si="13"/>
        <v>-1472000000</v>
      </c>
      <c r="J151" s="99">
        <f t="shared" si="16"/>
        <v>-1246072104</v>
      </c>
      <c r="K151" s="11">
        <f t="shared" si="17"/>
        <v>-225927896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184</v>
      </c>
      <c r="H152" s="99">
        <f t="shared" si="15"/>
        <v>0</v>
      </c>
      <c r="I152" s="99">
        <f t="shared" si="13"/>
        <v>-5746320</v>
      </c>
      <c r="J152" s="99">
        <f t="shared" si="16"/>
        <v>0</v>
      </c>
      <c r="K152" s="99">
        <f t="shared" si="17"/>
        <v>-5746320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173</v>
      </c>
      <c r="H153" s="99">
        <f t="shared" si="15"/>
        <v>1</v>
      </c>
      <c r="I153" s="99">
        <f t="shared" si="13"/>
        <v>23234964</v>
      </c>
      <c r="J153" s="99">
        <f t="shared" si="16"/>
        <v>7074360</v>
      </c>
      <c r="K153" s="99">
        <f t="shared" si="17"/>
        <v>16160604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170</v>
      </c>
      <c r="H154" s="99">
        <f t="shared" si="15"/>
        <v>1</v>
      </c>
      <c r="I154" s="99">
        <f t="shared" si="13"/>
        <v>1153269858</v>
      </c>
      <c r="J154" s="99">
        <f t="shared" si="16"/>
        <v>1153269858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165</v>
      </c>
      <c r="H155" s="99">
        <f t="shared" si="15"/>
        <v>0</v>
      </c>
      <c r="I155" s="99">
        <f t="shared" si="13"/>
        <v>-33000000</v>
      </c>
      <c r="J155" s="99">
        <f t="shared" si="16"/>
        <v>0</v>
      </c>
      <c r="K155" s="99">
        <f t="shared" si="17"/>
        <v>-33000000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165</v>
      </c>
      <c r="H156" s="99">
        <f t="shared" si="15"/>
        <v>0</v>
      </c>
      <c r="I156" s="99">
        <f t="shared" si="13"/>
        <v>-40893600</v>
      </c>
      <c r="J156" s="99">
        <f t="shared" si="16"/>
        <v>0</v>
      </c>
      <c r="K156" s="99">
        <f t="shared" si="17"/>
        <v>-40893600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164</v>
      </c>
      <c r="H157" s="99">
        <f t="shared" si="15"/>
        <v>0</v>
      </c>
      <c r="I157" s="99">
        <f t="shared" si="13"/>
        <v>-26623760</v>
      </c>
      <c r="J157" s="99">
        <f t="shared" si="16"/>
        <v>0</v>
      </c>
      <c r="K157" s="99">
        <f t="shared" si="17"/>
        <v>-26623760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164</v>
      </c>
      <c r="H158" s="99">
        <f t="shared" si="15"/>
        <v>0</v>
      </c>
      <c r="I158" s="99">
        <f t="shared" si="13"/>
        <v>-492147600</v>
      </c>
      <c r="J158" s="99">
        <f t="shared" si="16"/>
        <v>0</v>
      </c>
      <c r="K158" s="99">
        <f t="shared" si="17"/>
        <v>-492147600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162</v>
      </c>
      <c r="H159" s="99">
        <f t="shared" si="15"/>
        <v>0</v>
      </c>
      <c r="I159" s="99">
        <f t="shared" si="13"/>
        <v>-162081000</v>
      </c>
      <c r="J159" s="99">
        <f t="shared" si="16"/>
        <v>0</v>
      </c>
      <c r="K159" s="99">
        <f t="shared" si="17"/>
        <v>-162081000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158</v>
      </c>
      <c r="H160" s="99">
        <f t="shared" si="15"/>
        <v>0</v>
      </c>
      <c r="I160" s="99">
        <f t="shared" si="13"/>
        <v>-15800000</v>
      </c>
      <c r="J160" s="99">
        <f t="shared" si="16"/>
        <v>0</v>
      </c>
      <c r="K160" s="99">
        <f t="shared" si="17"/>
        <v>-15800000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157</v>
      </c>
      <c r="H161" s="99">
        <f t="shared" si="15"/>
        <v>0</v>
      </c>
      <c r="I161" s="99">
        <f t="shared" si="13"/>
        <v>-314000000</v>
      </c>
      <c r="J161" s="99">
        <f t="shared" si="16"/>
        <v>0</v>
      </c>
      <c r="K161" s="99">
        <f t="shared" si="17"/>
        <v>-314000000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157</v>
      </c>
      <c r="H162" s="99">
        <f t="shared" si="15"/>
        <v>0</v>
      </c>
      <c r="I162" s="99">
        <f t="shared" si="13"/>
        <v>-157078500</v>
      </c>
      <c r="J162" s="99">
        <f t="shared" si="16"/>
        <v>0</v>
      </c>
      <c r="K162" s="99">
        <f t="shared" si="17"/>
        <v>-157078500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154</v>
      </c>
      <c r="H163" s="99">
        <f t="shared" si="15"/>
        <v>0</v>
      </c>
      <c r="I163" s="99">
        <f t="shared" si="13"/>
        <v>-770000</v>
      </c>
      <c r="J163" s="99">
        <f t="shared" si="16"/>
        <v>0</v>
      </c>
      <c r="K163" s="99">
        <f t="shared" si="17"/>
        <v>-770000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144</v>
      </c>
      <c r="H164" s="99">
        <f t="shared" si="15"/>
        <v>1</v>
      </c>
      <c r="I164" s="99">
        <f t="shared" si="13"/>
        <v>429000000</v>
      </c>
      <c r="J164" s="99">
        <f t="shared" si="16"/>
        <v>0</v>
      </c>
      <c r="K164" s="99">
        <f t="shared" si="17"/>
        <v>429000000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143</v>
      </c>
      <c r="H165" s="99">
        <f t="shared" si="15"/>
        <v>1</v>
      </c>
      <c r="I165" s="99">
        <f t="shared" si="13"/>
        <v>426000000</v>
      </c>
      <c r="J165" s="99">
        <f t="shared" si="16"/>
        <v>0</v>
      </c>
      <c r="K165" s="99">
        <f t="shared" si="17"/>
        <v>426000000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142</v>
      </c>
      <c r="H166" s="99">
        <f t="shared" si="15"/>
        <v>1</v>
      </c>
      <c r="I166" s="99">
        <f t="shared" si="13"/>
        <v>2864274</v>
      </c>
      <c r="J166" s="99">
        <f t="shared" si="16"/>
        <v>8437722</v>
      </c>
      <c r="K166" s="99">
        <f t="shared" si="17"/>
        <v>-5573448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137</v>
      </c>
      <c r="H167" s="99">
        <f t="shared" si="15"/>
        <v>0</v>
      </c>
      <c r="I167" s="99">
        <f t="shared" si="13"/>
        <v>-411123300</v>
      </c>
      <c r="J167" s="99">
        <f t="shared" si="16"/>
        <v>0</v>
      </c>
      <c r="K167" s="99">
        <f t="shared" si="17"/>
        <v>-411123300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119</v>
      </c>
      <c r="H168" s="99">
        <f t="shared" si="15"/>
        <v>0</v>
      </c>
      <c r="I168" s="99">
        <f t="shared" si="13"/>
        <v>-357107100</v>
      </c>
      <c r="J168" s="99">
        <f t="shared" si="16"/>
        <v>0</v>
      </c>
      <c r="K168" s="99">
        <f t="shared" si="17"/>
        <v>-357107100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111</v>
      </c>
      <c r="H169" s="99">
        <f t="shared" si="15"/>
        <v>1</v>
      </c>
      <c r="I169" s="99">
        <f t="shared" si="13"/>
        <v>2387550</v>
      </c>
      <c r="J169" s="99">
        <f t="shared" si="16"/>
        <v>7536650</v>
      </c>
      <c r="K169" s="99">
        <f t="shared" si="17"/>
        <v>-5149100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87</v>
      </c>
      <c r="H170" s="99">
        <f t="shared" si="15"/>
        <v>1</v>
      </c>
      <c r="I170" s="99">
        <f t="shared" si="13"/>
        <v>430000000</v>
      </c>
      <c r="J170" s="99">
        <f t="shared" si="16"/>
        <v>0</v>
      </c>
      <c r="K170" s="99">
        <f t="shared" si="17"/>
        <v>430000000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86</v>
      </c>
      <c r="H171" s="99">
        <f t="shared" si="15"/>
        <v>0</v>
      </c>
      <c r="I171" s="99">
        <f t="shared" si="13"/>
        <v>-430000000</v>
      </c>
      <c r="J171" s="99">
        <f t="shared" si="16"/>
        <v>0</v>
      </c>
      <c r="K171" s="99">
        <f t="shared" si="17"/>
        <v>-430000000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80</v>
      </c>
      <c r="H172" s="99">
        <f t="shared" si="15"/>
        <v>1</v>
      </c>
      <c r="I172" s="99">
        <f t="shared" si="13"/>
        <v>39184</v>
      </c>
      <c r="J172" s="99">
        <f t="shared" si="16"/>
        <v>4951799</v>
      </c>
      <c r="K172" s="99">
        <f t="shared" si="17"/>
        <v>-4912615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79</v>
      </c>
      <c r="H173" s="99">
        <f t="shared" si="15"/>
        <v>1</v>
      </c>
      <c r="I173" s="99">
        <f t="shared" si="13"/>
        <v>61230000</v>
      </c>
      <c r="J173" s="99">
        <f t="shared" si="16"/>
        <v>0</v>
      </c>
      <c r="K173" s="99">
        <f t="shared" si="17"/>
        <v>61230000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68</v>
      </c>
      <c r="H174" s="99">
        <f t="shared" si="15"/>
        <v>0</v>
      </c>
      <c r="I174" s="99">
        <f t="shared" si="13"/>
        <v>-2176000</v>
      </c>
      <c r="J174" s="99">
        <f t="shared" si="16"/>
        <v>0</v>
      </c>
      <c r="K174" s="99">
        <f t="shared" si="17"/>
        <v>-2176000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66</v>
      </c>
      <c r="H175" s="99">
        <f t="shared" si="15"/>
        <v>0</v>
      </c>
      <c r="I175" s="99">
        <f t="shared" si="13"/>
        <v>-49500000</v>
      </c>
      <c r="J175" s="99">
        <f t="shared" si="16"/>
        <v>0</v>
      </c>
      <c r="K175" s="99">
        <f t="shared" si="17"/>
        <v>-49500000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57</v>
      </c>
      <c r="H176" s="99">
        <f t="shared" si="15"/>
        <v>0</v>
      </c>
      <c r="I176" s="99">
        <f t="shared" si="13"/>
        <v>-535572</v>
      </c>
      <c r="J176" s="99">
        <f t="shared" si="16"/>
        <v>0</v>
      </c>
      <c r="K176" s="99">
        <f t="shared" si="17"/>
        <v>-535572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56</v>
      </c>
      <c r="H177" s="99">
        <f t="shared" si="15"/>
        <v>0</v>
      </c>
      <c r="I177" s="99">
        <f t="shared" si="13"/>
        <v>-2424800</v>
      </c>
      <c r="J177" s="99">
        <f t="shared" si="16"/>
        <v>0</v>
      </c>
      <c r="K177" s="99">
        <f t="shared" si="17"/>
        <v>-2424800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53</v>
      </c>
      <c r="H178" s="99">
        <f t="shared" si="15"/>
        <v>1</v>
      </c>
      <c r="I178" s="99">
        <f t="shared" si="13"/>
        <v>18720000</v>
      </c>
      <c r="J178" s="99">
        <f t="shared" si="16"/>
        <v>0</v>
      </c>
      <c r="K178" s="99">
        <f t="shared" si="17"/>
        <v>18720000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51</v>
      </c>
      <c r="H179" s="99">
        <f t="shared" si="15"/>
        <v>1</v>
      </c>
      <c r="I179" s="99">
        <f t="shared" si="13"/>
        <v>150000000</v>
      </c>
      <c r="J179" s="99">
        <f t="shared" si="16"/>
        <v>0</v>
      </c>
      <c r="K179" s="99">
        <f t="shared" si="17"/>
        <v>150000000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51</v>
      </c>
      <c r="H180" s="99">
        <f t="shared" si="15"/>
        <v>0</v>
      </c>
      <c r="I180" s="99">
        <f t="shared" si="13"/>
        <v>-614550</v>
      </c>
      <c r="J180" s="99">
        <f t="shared" si="16"/>
        <v>0</v>
      </c>
      <c r="K180" s="99">
        <f t="shared" si="17"/>
        <v>-614550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49</v>
      </c>
      <c r="H181" s="99">
        <f t="shared" si="15"/>
        <v>1</v>
      </c>
      <c r="I181" s="99">
        <f t="shared" si="13"/>
        <v>144000000</v>
      </c>
      <c r="J181" s="99">
        <f t="shared" si="16"/>
        <v>0</v>
      </c>
      <c r="K181" s="99">
        <f t="shared" si="17"/>
        <v>144000000</v>
      </c>
    </row>
    <row r="182" spans="1:14" x14ac:dyDescent="0.25">
      <c r="A182" s="99" t="s">
        <v>4052</v>
      </c>
      <c r="B182" s="18">
        <v>-35800</v>
      </c>
      <c r="C182" s="18">
        <v>0</v>
      </c>
      <c r="D182" s="18">
        <f t="shared" si="18"/>
        <v>-35800</v>
      </c>
      <c r="E182" s="99" t="s">
        <v>4053</v>
      </c>
      <c r="F182" s="99">
        <v>1</v>
      </c>
      <c r="G182" s="36">
        <f t="shared" si="14"/>
        <v>47</v>
      </c>
      <c r="H182" s="99">
        <f t="shared" si="15"/>
        <v>0</v>
      </c>
      <c r="I182" s="99">
        <f t="shared" si="13"/>
        <v>-1682600</v>
      </c>
      <c r="J182" s="99">
        <f t="shared" si="16"/>
        <v>0</v>
      </c>
      <c r="K182" s="99">
        <f t="shared" si="17"/>
        <v>-1682600</v>
      </c>
      <c r="N182" t="s">
        <v>25</v>
      </c>
    </row>
    <row r="183" spans="1:14" x14ac:dyDescent="0.25">
      <c r="A183" s="99" t="s">
        <v>4051</v>
      </c>
      <c r="B183" s="18">
        <v>3600000</v>
      </c>
      <c r="C183" s="18">
        <v>0</v>
      </c>
      <c r="D183" s="18">
        <f t="shared" si="18"/>
        <v>3600000</v>
      </c>
      <c r="E183" s="99" t="s">
        <v>4054</v>
      </c>
      <c r="F183" s="99">
        <v>0</v>
      </c>
      <c r="G183" s="36">
        <f t="shared" si="14"/>
        <v>46</v>
      </c>
      <c r="H183" s="99">
        <f t="shared" si="15"/>
        <v>1</v>
      </c>
      <c r="I183" s="99">
        <f t="shared" si="13"/>
        <v>162000000</v>
      </c>
      <c r="J183" s="99">
        <f t="shared" si="16"/>
        <v>0</v>
      </c>
      <c r="K183" s="99">
        <f t="shared" si="17"/>
        <v>162000000</v>
      </c>
    </row>
    <row r="184" spans="1:14" x14ac:dyDescent="0.25">
      <c r="A184" s="99" t="s">
        <v>4051</v>
      </c>
      <c r="B184" s="18">
        <v>-33377</v>
      </c>
      <c r="C184" s="18">
        <v>0</v>
      </c>
      <c r="D184" s="18">
        <f t="shared" si="18"/>
        <v>-33377</v>
      </c>
      <c r="E184" s="99" t="s">
        <v>4055</v>
      </c>
      <c r="F184" s="99">
        <v>3</v>
      </c>
      <c r="G184" s="36">
        <f t="shared" si="14"/>
        <v>46</v>
      </c>
      <c r="H184" s="99">
        <f t="shared" si="15"/>
        <v>0</v>
      </c>
      <c r="I184" s="99">
        <f t="shared" si="13"/>
        <v>-1535342</v>
      </c>
      <c r="J184" s="99">
        <f t="shared" si="16"/>
        <v>0</v>
      </c>
      <c r="K184" s="99">
        <f t="shared" si="17"/>
        <v>-1535342</v>
      </c>
    </row>
    <row r="185" spans="1:14" x14ac:dyDescent="0.25">
      <c r="A185" s="99" t="s">
        <v>4074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43</v>
      </c>
      <c r="H185" s="99">
        <f t="shared" si="15"/>
        <v>0</v>
      </c>
      <c r="I185" s="99">
        <f t="shared" si="13"/>
        <v>-421400000</v>
      </c>
      <c r="J185" s="99">
        <f t="shared" si="16"/>
        <v>0</v>
      </c>
      <c r="K185" s="99">
        <f t="shared" si="17"/>
        <v>-421400000</v>
      </c>
    </row>
    <row r="186" spans="1:14" x14ac:dyDescent="0.25">
      <c r="A186" s="99" t="s">
        <v>4074</v>
      </c>
      <c r="B186" s="18">
        <v>18000000</v>
      </c>
      <c r="C186" s="18">
        <v>0</v>
      </c>
      <c r="D186" s="18">
        <f t="shared" si="18"/>
        <v>18000000</v>
      </c>
      <c r="E186" s="99" t="s">
        <v>4076</v>
      </c>
      <c r="F186" s="99">
        <v>0</v>
      </c>
      <c r="G186" s="36">
        <f t="shared" si="14"/>
        <v>43</v>
      </c>
      <c r="H186" s="99">
        <f t="shared" si="15"/>
        <v>1</v>
      </c>
      <c r="I186" s="99">
        <f t="shared" si="13"/>
        <v>756000000</v>
      </c>
      <c r="J186" s="99">
        <f t="shared" si="16"/>
        <v>0</v>
      </c>
      <c r="K186" s="99">
        <f t="shared" si="17"/>
        <v>756000000</v>
      </c>
    </row>
    <row r="187" spans="1:14" x14ac:dyDescent="0.25">
      <c r="A187" s="99" t="s">
        <v>4074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43</v>
      </c>
      <c r="H187" s="99">
        <f t="shared" si="15"/>
        <v>0</v>
      </c>
      <c r="I187" s="99">
        <f t="shared" si="13"/>
        <v>-387000000</v>
      </c>
      <c r="J187" s="99">
        <f t="shared" si="16"/>
        <v>0</v>
      </c>
      <c r="K187" s="99">
        <f t="shared" si="17"/>
        <v>-387000000</v>
      </c>
    </row>
    <row r="188" spans="1:14" x14ac:dyDescent="0.25">
      <c r="A188" s="99" t="s">
        <v>4074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43</v>
      </c>
      <c r="H188" s="99">
        <f t="shared" si="15"/>
        <v>0</v>
      </c>
      <c r="I188" s="99">
        <f t="shared" si="13"/>
        <v>-498800</v>
      </c>
      <c r="J188" s="99">
        <f t="shared" si="16"/>
        <v>0</v>
      </c>
      <c r="K188" s="99">
        <f t="shared" si="17"/>
        <v>-498800</v>
      </c>
    </row>
    <row r="189" spans="1:14" x14ac:dyDescent="0.25">
      <c r="A189" s="99" t="s">
        <v>4074</v>
      </c>
      <c r="B189" s="18">
        <v>-3304327</v>
      </c>
      <c r="C189" s="18">
        <v>0</v>
      </c>
      <c r="D189" s="18">
        <f t="shared" si="18"/>
        <v>-3304327</v>
      </c>
      <c r="E189" s="99" t="s">
        <v>4077</v>
      </c>
      <c r="F189" s="99">
        <v>1</v>
      </c>
      <c r="G189" s="36">
        <f t="shared" si="14"/>
        <v>43</v>
      </c>
      <c r="H189" s="99">
        <f t="shared" si="15"/>
        <v>0</v>
      </c>
      <c r="I189" s="99">
        <f t="shared" si="13"/>
        <v>-142086061</v>
      </c>
      <c r="J189" s="99">
        <f t="shared" si="16"/>
        <v>0</v>
      </c>
      <c r="K189" s="99">
        <f t="shared" si="17"/>
        <v>-142086061</v>
      </c>
    </row>
    <row r="190" spans="1:14" x14ac:dyDescent="0.25">
      <c r="A190" s="99" t="s">
        <v>4083</v>
      </c>
      <c r="B190" s="18">
        <v>-3000900</v>
      </c>
      <c r="C190" s="18">
        <v>0</v>
      </c>
      <c r="D190" s="18">
        <f t="shared" si="18"/>
        <v>-3000900</v>
      </c>
      <c r="E190" s="99" t="s">
        <v>4084</v>
      </c>
      <c r="F190" s="99">
        <v>1</v>
      </c>
      <c r="G190" s="36">
        <f t="shared" si="14"/>
        <v>42</v>
      </c>
      <c r="H190" s="99">
        <f t="shared" si="15"/>
        <v>0</v>
      </c>
      <c r="I190" s="99">
        <f t="shared" si="13"/>
        <v>-126037800</v>
      </c>
      <c r="J190" s="99">
        <f t="shared" si="16"/>
        <v>0</v>
      </c>
      <c r="K190" s="99">
        <f t="shared" si="17"/>
        <v>-126037800</v>
      </c>
    </row>
    <row r="191" spans="1:14" x14ac:dyDescent="0.25">
      <c r="A191" s="99" t="s">
        <v>4088</v>
      </c>
      <c r="B191" s="18">
        <v>-2760900</v>
      </c>
      <c r="C191" s="18">
        <v>0</v>
      </c>
      <c r="D191" s="18">
        <f t="shared" si="18"/>
        <v>-2760900</v>
      </c>
      <c r="E191" s="99" t="s">
        <v>4089</v>
      </c>
      <c r="F191" s="99">
        <v>5</v>
      </c>
      <c r="G191" s="36">
        <f t="shared" si="14"/>
        <v>41</v>
      </c>
      <c r="H191" s="99">
        <f t="shared" si="15"/>
        <v>0</v>
      </c>
      <c r="I191" s="99">
        <f t="shared" si="13"/>
        <v>-113196900</v>
      </c>
      <c r="J191" s="99">
        <f t="shared" si="16"/>
        <v>0</v>
      </c>
      <c r="K191" s="99">
        <f t="shared" si="17"/>
        <v>-113196900</v>
      </c>
    </row>
    <row r="192" spans="1:14" x14ac:dyDescent="0.25">
      <c r="A192" s="99" t="s">
        <v>4102</v>
      </c>
      <c r="B192" s="18">
        <v>1000000</v>
      </c>
      <c r="C192" s="18">
        <v>0</v>
      </c>
      <c r="D192" s="18">
        <f t="shared" si="18"/>
        <v>1000000</v>
      </c>
      <c r="E192" s="99" t="s">
        <v>4081</v>
      </c>
      <c r="F192" s="99">
        <v>1</v>
      </c>
      <c r="G192" s="36">
        <f t="shared" si="14"/>
        <v>36</v>
      </c>
      <c r="H192" s="99">
        <f t="shared" si="15"/>
        <v>1</v>
      </c>
      <c r="I192" s="99">
        <f t="shared" si="13"/>
        <v>35000000</v>
      </c>
      <c r="J192" s="99">
        <f t="shared" si="16"/>
        <v>0</v>
      </c>
      <c r="K192" s="99">
        <f t="shared" si="17"/>
        <v>35000000</v>
      </c>
    </row>
    <row r="193" spans="1:11" x14ac:dyDescent="0.25">
      <c r="A193" s="99" t="s">
        <v>4118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35</v>
      </c>
      <c r="H193" s="99">
        <f t="shared" si="15"/>
        <v>0</v>
      </c>
      <c r="I193" s="99">
        <f t="shared" si="13"/>
        <v>-525000</v>
      </c>
      <c r="J193" s="99">
        <f t="shared" si="16"/>
        <v>0</v>
      </c>
      <c r="K193" s="99">
        <f t="shared" si="17"/>
        <v>-525000</v>
      </c>
    </row>
    <row r="194" spans="1:11" x14ac:dyDescent="0.25">
      <c r="A194" s="99" t="s">
        <v>4114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33</v>
      </c>
      <c r="H194" s="99">
        <f t="shared" si="15"/>
        <v>0</v>
      </c>
      <c r="I194" s="99">
        <f t="shared" si="13"/>
        <v>-32670000</v>
      </c>
      <c r="J194" s="99">
        <f t="shared" si="16"/>
        <v>0</v>
      </c>
      <c r="K194" s="99">
        <f t="shared" si="17"/>
        <v>-32670000</v>
      </c>
    </row>
    <row r="195" spans="1:11" x14ac:dyDescent="0.25">
      <c r="A195" s="99" t="s">
        <v>4114</v>
      </c>
      <c r="B195" s="18">
        <v>783000</v>
      </c>
      <c r="C195" s="18">
        <v>0</v>
      </c>
      <c r="D195" s="18">
        <f t="shared" si="18"/>
        <v>783000</v>
      </c>
      <c r="E195" s="99" t="s">
        <v>4122</v>
      </c>
      <c r="F195" s="99">
        <v>2</v>
      </c>
      <c r="G195" s="36">
        <f t="shared" si="14"/>
        <v>33</v>
      </c>
      <c r="H195" s="99">
        <f t="shared" si="15"/>
        <v>1</v>
      </c>
      <c r="I195" s="99">
        <f t="shared" si="13"/>
        <v>25056000</v>
      </c>
      <c r="J195" s="99">
        <f t="shared" si="16"/>
        <v>0</v>
      </c>
      <c r="K195" s="99">
        <f t="shared" si="17"/>
        <v>25056000</v>
      </c>
    </row>
    <row r="196" spans="1:11" x14ac:dyDescent="0.25">
      <c r="A196" s="99" t="s">
        <v>4126</v>
      </c>
      <c r="B196" s="18">
        <v>-750500</v>
      </c>
      <c r="C196" s="18">
        <v>0</v>
      </c>
      <c r="D196" s="18">
        <f t="shared" si="18"/>
        <v>-750500</v>
      </c>
      <c r="E196" s="99" t="s">
        <v>4127</v>
      </c>
      <c r="F196" s="99">
        <v>2</v>
      </c>
      <c r="G196" s="36">
        <f t="shared" si="14"/>
        <v>31</v>
      </c>
      <c r="H196" s="99">
        <f t="shared" si="15"/>
        <v>0</v>
      </c>
      <c r="I196" s="99">
        <f t="shared" si="13"/>
        <v>-23265500</v>
      </c>
      <c r="J196" s="99">
        <f t="shared" si="16"/>
        <v>0</v>
      </c>
      <c r="K196" s="99">
        <f t="shared" si="17"/>
        <v>-23265500</v>
      </c>
    </row>
    <row r="197" spans="1:11" x14ac:dyDescent="0.25">
      <c r="A197" s="99" t="s">
        <v>4139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29</v>
      </c>
      <c r="H197" s="99">
        <f t="shared" si="15"/>
        <v>1</v>
      </c>
      <c r="I197" s="99">
        <f t="shared" si="13"/>
        <v>19600000</v>
      </c>
      <c r="J197" s="99">
        <f t="shared" si="16"/>
        <v>0</v>
      </c>
      <c r="K197" s="99">
        <f t="shared" si="17"/>
        <v>19600000</v>
      </c>
    </row>
    <row r="198" spans="1:11" x14ac:dyDescent="0.25">
      <c r="A198" s="99" t="s">
        <v>4139</v>
      </c>
      <c r="B198" s="18">
        <v>-99000</v>
      </c>
      <c r="C198" s="18">
        <v>0</v>
      </c>
      <c r="D198" s="18">
        <f t="shared" si="18"/>
        <v>-99000</v>
      </c>
      <c r="E198" s="99" t="s">
        <v>4141</v>
      </c>
      <c r="F198" s="99">
        <v>1</v>
      </c>
      <c r="G198" s="36">
        <f t="shared" si="14"/>
        <v>29</v>
      </c>
      <c r="H198" s="99">
        <f t="shared" si="15"/>
        <v>0</v>
      </c>
      <c r="I198" s="99">
        <f t="shared" si="13"/>
        <v>-2871000</v>
      </c>
      <c r="J198" s="99">
        <f t="shared" si="16"/>
        <v>0</v>
      </c>
      <c r="K198" s="99">
        <f t="shared" si="17"/>
        <v>-2871000</v>
      </c>
    </row>
    <row r="199" spans="1:11" x14ac:dyDescent="0.25">
      <c r="A199" s="99" t="s">
        <v>4142</v>
      </c>
      <c r="B199" s="18">
        <v>-205750</v>
      </c>
      <c r="C199" s="18">
        <v>0</v>
      </c>
      <c r="D199" s="18">
        <f t="shared" si="18"/>
        <v>-205750</v>
      </c>
      <c r="E199" s="99" t="s">
        <v>4143</v>
      </c>
      <c r="F199" s="99">
        <v>0</v>
      </c>
      <c r="G199" s="36">
        <f t="shared" si="14"/>
        <v>28</v>
      </c>
      <c r="H199" s="99">
        <f t="shared" si="15"/>
        <v>0</v>
      </c>
      <c r="I199" s="99">
        <f t="shared" si="13"/>
        <v>-5761000</v>
      </c>
      <c r="J199" s="99">
        <f t="shared" si="16"/>
        <v>0</v>
      </c>
      <c r="K199" s="99">
        <f t="shared" si="17"/>
        <v>-5761000</v>
      </c>
    </row>
    <row r="200" spans="1:11" x14ac:dyDescent="0.25">
      <c r="A200" s="99" t="s">
        <v>4142</v>
      </c>
      <c r="B200" s="18">
        <v>-95000</v>
      </c>
      <c r="C200" s="18">
        <v>0</v>
      </c>
      <c r="D200" s="18">
        <f t="shared" si="18"/>
        <v>-95000</v>
      </c>
      <c r="E200" s="99" t="s">
        <v>4144</v>
      </c>
      <c r="F200" s="99">
        <v>3</v>
      </c>
      <c r="G200" s="36">
        <f t="shared" si="14"/>
        <v>28</v>
      </c>
      <c r="H200" s="99">
        <f t="shared" si="15"/>
        <v>0</v>
      </c>
      <c r="I200" s="99">
        <f t="shared" si="13"/>
        <v>-2660000</v>
      </c>
      <c r="J200" s="99">
        <f t="shared" si="16"/>
        <v>0</v>
      </c>
      <c r="K200" s="99">
        <f t="shared" si="17"/>
        <v>-2660000</v>
      </c>
    </row>
    <row r="201" spans="1:11" x14ac:dyDescent="0.25">
      <c r="A201" s="99" t="s">
        <v>4164</v>
      </c>
      <c r="B201" s="18">
        <v>48650000</v>
      </c>
      <c r="C201" s="18">
        <v>0</v>
      </c>
      <c r="D201" s="18">
        <f t="shared" si="18"/>
        <v>48650000</v>
      </c>
      <c r="E201" s="99" t="s">
        <v>4165</v>
      </c>
      <c r="F201" s="99">
        <v>0</v>
      </c>
      <c r="G201" s="36">
        <f t="shared" si="14"/>
        <v>25</v>
      </c>
      <c r="H201" s="99">
        <f t="shared" si="15"/>
        <v>1</v>
      </c>
      <c r="I201" s="99">
        <f t="shared" si="13"/>
        <v>1167600000</v>
      </c>
      <c r="J201" s="99">
        <f t="shared" si="16"/>
        <v>0</v>
      </c>
      <c r="K201" s="99">
        <f t="shared" si="17"/>
        <v>1167600000</v>
      </c>
    </row>
    <row r="202" spans="1:11" x14ac:dyDescent="0.25">
      <c r="A202" s="99" t="s">
        <v>4164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25</v>
      </c>
      <c r="H202" s="99">
        <f t="shared" si="15"/>
        <v>0</v>
      </c>
      <c r="I202" s="99">
        <f t="shared" si="13"/>
        <v>-75022500</v>
      </c>
      <c r="J202" s="99">
        <f t="shared" si="16"/>
        <v>0</v>
      </c>
      <c r="K202" s="99">
        <f t="shared" si="17"/>
        <v>-75022500</v>
      </c>
    </row>
    <row r="203" spans="1:11" x14ac:dyDescent="0.25">
      <c r="A203" s="99" t="s">
        <v>4164</v>
      </c>
      <c r="B203" s="18">
        <v>-5000</v>
      </c>
      <c r="C203" s="18">
        <v>0</v>
      </c>
      <c r="D203" s="18">
        <f t="shared" si="18"/>
        <v>-5000</v>
      </c>
      <c r="E203" s="99" t="s">
        <v>4166</v>
      </c>
      <c r="F203" s="99">
        <v>0</v>
      </c>
      <c r="G203" s="36">
        <f t="shared" si="14"/>
        <v>25</v>
      </c>
      <c r="H203" s="99">
        <f t="shared" si="15"/>
        <v>0</v>
      </c>
      <c r="I203" s="99">
        <f t="shared" si="13"/>
        <v>-125000</v>
      </c>
      <c r="J203" s="99">
        <f t="shared" si="16"/>
        <v>0</v>
      </c>
      <c r="K203" s="99">
        <f t="shared" si="17"/>
        <v>-125000</v>
      </c>
    </row>
    <row r="204" spans="1:11" x14ac:dyDescent="0.25">
      <c r="A204" s="99" t="s">
        <v>4164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25</v>
      </c>
      <c r="H204" s="99">
        <f t="shared" si="15"/>
        <v>0</v>
      </c>
      <c r="I204" s="99">
        <f t="shared" si="13"/>
        <v>-837500000</v>
      </c>
      <c r="J204" s="99">
        <f t="shared" si="16"/>
        <v>0</v>
      </c>
      <c r="K204" s="99">
        <f t="shared" si="17"/>
        <v>-837500000</v>
      </c>
    </row>
    <row r="205" spans="1:11" x14ac:dyDescent="0.25">
      <c r="A205" s="11" t="s">
        <v>4172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24</v>
      </c>
      <c r="H205" s="99">
        <f t="shared" si="15"/>
        <v>0</v>
      </c>
      <c r="I205" s="99">
        <f t="shared" si="13"/>
        <v>-298440000</v>
      </c>
      <c r="J205" s="99">
        <f t="shared" si="16"/>
        <v>0</v>
      </c>
      <c r="K205" s="99">
        <f t="shared" si="17"/>
        <v>-298440000</v>
      </c>
    </row>
    <row r="206" spans="1:11" x14ac:dyDescent="0.25">
      <c r="A206" s="99" t="s">
        <v>4185</v>
      </c>
      <c r="B206" s="18">
        <v>-18500</v>
      </c>
      <c r="C206" s="18">
        <v>0</v>
      </c>
      <c r="D206" s="18">
        <f t="shared" si="18"/>
        <v>-18500</v>
      </c>
      <c r="E206" s="99" t="s">
        <v>4186</v>
      </c>
      <c r="F206" s="99">
        <v>2</v>
      </c>
      <c r="G206" s="36">
        <f t="shared" si="19"/>
        <v>21</v>
      </c>
      <c r="H206" s="99">
        <f t="shared" si="15"/>
        <v>0</v>
      </c>
      <c r="I206" s="99">
        <f t="shared" si="13"/>
        <v>-388500</v>
      </c>
      <c r="J206" s="99">
        <f t="shared" si="16"/>
        <v>0</v>
      </c>
      <c r="K206" s="99">
        <f t="shared" si="17"/>
        <v>-388500</v>
      </c>
    </row>
    <row r="207" spans="1:11" x14ac:dyDescent="0.25">
      <c r="A207" s="99" t="s">
        <v>4182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19</v>
      </c>
      <c r="H207" s="99">
        <f t="shared" si="15"/>
        <v>1</v>
      </c>
      <c r="I207" s="99">
        <f t="shared" si="13"/>
        <v>260640</v>
      </c>
      <c r="J207" s="99">
        <f t="shared" ref="J207:J266" si="20">C207*(G207-H207)</f>
        <v>1275732</v>
      </c>
      <c r="K207" s="99">
        <f t="shared" si="17"/>
        <v>-1015092</v>
      </c>
    </row>
    <row r="208" spans="1:11" x14ac:dyDescent="0.25">
      <c r="A208" s="99" t="s">
        <v>4188</v>
      </c>
      <c r="B208" s="18">
        <v>830000</v>
      </c>
      <c r="C208" s="18">
        <v>0</v>
      </c>
      <c r="D208" s="18">
        <f t="shared" si="18"/>
        <v>830000</v>
      </c>
      <c r="E208" s="99" t="s">
        <v>4189</v>
      </c>
      <c r="F208" s="99">
        <v>2</v>
      </c>
      <c r="G208" s="36">
        <f t="shared" si="19"/>
        <v>18</v>
      </c>
      <c r="H208" s="99">
        <f t="shared" si="15"/>
        <v>1</v>
      </c>
      <c r="I208" s="99">
        <f t="shared" si="13"/>
        <v>14110000</v>
      </c>
      <c r="J208" s="99">
        <f t="shared" si="20"/>
        <v>0</v>
      </c>
      <c r="K208" s="99">
        <f t="shared" si="17"/>
        <v>14110000</v>
      </c>
    </row>
    <row r="209" spans="1:13" x14ac:dyDescent="0.25">
      <c r="A209" s="99" t="s">
        <v>4211</v>
      </c>
      <c r="B209" s="18">
        <v>-52440</v>
      </c>
      <c r="C209" s="18">
        <v>0</v>
      </c>
      <c r="D209" s="18">
        <f t="shared" si="18"/>
        <v>-52440</v>
      </c>
      <c r="E209" s="99" t="s">
        <v>4217</v>
      </c>
      <c r="F209" s="99">
        <v>1</v>
      </c>
      <c r="G209" s="36">
        <f t="shared" si="19"/>
        <v>16</v>
      </c>
      <c r="H209" s="99">
        <f t="shared" si="15"/>
        <v>0</v>
      </c>
      <c r="I209" s="99">
        <f t="shared" si="13"/>
        <v>-839040</v>
      </c>
      <c r="J209" s="99">
        <f t="shared" si="20"/>
        <v>0</v>
      </c>
      <c r="K209" s="99">
        <f t="shared" si="17"/>
        <v>-839040</v>
      </c>
    </row>
    <row r="210" spans="1:13" x14ac:dyDescent="0.25">
      <c r="A210" s="99" t="s">
        <v>4218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15</v>
      </c>
      <c r="H210" s="99">
        <f t="shared" si="15"/>
        <v>0</v>
      </c>
      <c r="I210" s="99">
        <f t="shared" si="13"/>
        <v>-766500</v>
      </c>
      <c r="J210" s="99">
        <f t="shared" si="20"/>
        <v>0</v>
      </c>
      <c r="K210" s="99">
        <f t="shared" si="17"/>
        <v>-766500</v>
      </c>
    </row>
    <row r="211" spans="1:13" x14ac:dyDescent="0.25">
      <c r="A211" s="99" t="s">
        <v>4220</v>
      </c>
      <c r="B211" s="18">
        <v>-200000</v>
      </c>
      <c r="C211" s="18">
        <v>0</v>
      </c>
      <c r="D211" s="18">
        <f t="shared" si="18"/>
        <v>-200000</v>
      </c>
      <c r="E211" s="99" t="s">
        <v>4221</v>
      </c>
      <c r="F211" s="99">
        <v>1</v>
      </c>
      <c r="G211" s="36">
        <f t="shared" si="19"/>
        <v>14</v>
      </c>
      <c r="H211" s="99">
        <f t="shared" si="15"/>
        <v>0</v>
      </c>
      <c r="I211" s="99">
        <f t="shared" si="13"/>
        <v>-2800000</v>
      </c>
      <c r="J211" s="99">
        <f t="shared" si="20"/>
        <v>0</v>
      </c>
      <c r="K211" s="99">
        <f t="shared" si="17"/>
        <v>-2800000</v>
      </c>
    </row>
    <row r="212" spans="1:13" x14ac:dyDescent="0.25">
      <c r="A212" s="99" t="s">
        <v>4222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13</v>
      </c>
      <c r="H212" s="99">
        <f t="shared" si="15"/>
        <v>0</v>
      </c>
      <c r="I212" s="99">
        <f t="shared" si="13"/>
        <v>-364000</v>
      </c>
      <c r="J212" s="99">
        <f t="shared" si="20"/>
        <v>0</v>
      </c>
      <c r="K212" s="99">
        <f t="shared" si="17"/>
        <v>-364000</v>
      </c>
    </row>
    <row r="213" spans="1:13" x14ac:dyDescent="0.25">
      <c r="A213" s="99" t="s">
        <v>4223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12</v>
      </c>
      <c r="H213" s="99">
        <f t="shared" si="15"/>
        <v>0</v>
      </c>
      <c r="I213" s="99">
        <f t="shared" si="13"/>
        <v>-709200</v>
      </c>
      <c r="J213" s="99">
        <f t="shared" si="20"/>
        <v>0</v>
      </c>
      <c r="K213" s="99">
        <f t="shared" si="17"/>
        <v>-709200</v>
      </c>
    </row>
    <row r="214" spans="1:13" x14ac:dyDescent="0.25">
      <c r="A214" s="99" t="s">
        <v>4223</v>
      </c>
      <c r="B214" s="18">
        <v>-30000</v>
      </c>
      <c r="C214" s="18">
        <v>0</v>
      </c>
      <c r="D214" s="18">
        <f t="shared" si="18"/>
        <v>-30000</v>
      </c>
      <c r="E214" s="99" t="s">
        <v>4224</v>
      </c>
      <c r="F214" s="99">
        <v>0</v>
      </c>
      <c r="G214" s="36">
        <f t="shared" si="19"/>
        <v>11</v>
      </c>
      <c r="H214" s="99">
        <f t="shared" si="15"/>
        <v>0</v>
      </c>
      <c r="I214" s="99">
        <f t="shared" si="13"/>
        <v>-330000</v>
      </c>
      <c r="J214" s="99">
        <f t="shared" si="20"/>
        <v>0</v>
      </c>
      <c r="K214" s="99">
        <f t="shared" si="17"/>
        <v>-330000</v>
      </c>
    </row>
    <row r="215" spans="1:13" x14ac:dyDescent="0.25">
      <c r="A215" s="99" t="s">
        <v>4223</v>
      </c>
      <c r="B215" s="18">
        <v>-178000</v>
      </c>
      <c r="C215" s="18">
        <v>0</v>
      </c>
      <c r="D215" s="18">
        <f t="shared" si="18"/>
        <v>-178000</v>
      </c>
      <c r="E215" s="99" t="s">
        <v>4226</v>
      </c>
      <c r="F215" s="99">
        <v>1</v>
      </c>
      <c r="G215" s="36">
        <f t="shared" si="19"/>
        <v>11</v>
      </c>
      <c r="H215" s="99">
        <f t="shared" si="15"/>
        <v>0</v>
      </c>
      <c r="I215" s="99">
        <f t="shared" si="13"/>
        <v>-1958000</v>
      </c>
      <c r="J215" s="99">
        <f t="shared" si="20"/>
        <v>0</v>
      </c>
      <c r="K215" s="99">
        <f t="shared" si="17"/>
        <v>-1958000</v>
      </c>
    </row>
    <row r="216" spans="1:13" x14ac:dyDescent="0.25">
      <c r="A216" s="99" t="s">
        <v>4228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10</v>
      </c>
      <c r="H216" s="99">
        <f t="shared" si="15"/>
        <v>0</v>
      </c>
      <c r="I216" s="99">
        <f t="shared" si="13"/>
        <v>-956100</v>
      </c>
      <c r="J216" s="99">
        <f t="shared" si="20"/>
        <v>0</v>
      </c>
      <c r="K216" s="99">
        <f t="shared" si="17"/>
        <v>-956100</v>
      </c>
    </row>
    <row r="217" spans="1:13" x14ac:dyDescent="0.25">
      <c r="A217" s="99" t="s">
        <v>4181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7</v>
      </c>
      <c r="H217" s="99">
        <f t="shared" si="15"/>
        <v>0</v>
      </c>
      <c r="I217" s="99">
        <f t="shared" si="13"/>
        <v>-588000</v>
      </c>
      <c r="J217" s="99">
        <f t="shared" si="20"/>
        <v>0</v>
      </c>
      <c r="K217" s="99">
        <f t="shared" si="17"/>
        <v>-588000</v>
      </c>
    </row>
    <row r="218" spans="1:13" x14ac:dyDescent="0.25">
      <c r="A218" s="99" t="s">
        <v>4232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5</v>
      </c>
      <c r="H218" s="99">
        <f t="shared" si="15"/>
        <v>0</v>
      </c>
      <c r="I218" s="99">
        <f t="shared" si="13"/>
        <v>-165000</v>
      </c>
      <c r="J218" s="99">
        <f t="shared" si="20"/>
        <v>0</v>
      </c>
      <c r="K218" s="99">
        <f t="shared" si="17"/>
        <v>-165000</v>
      </c>
    </row>
    <row r="219" spans="1:13" x14ac:dyDescent="0.25">
      <c r="A219" s="99" t="s">
        <v>4237</v>
      </c>
      <c r="B219" s="18">
        <v>1548000</v>
      </c>
      <c r="C219" s="18">
        <v>0</v>
      </c>
      <c r="D219" s="18">
        <f t="shared" si="18"/>
        <v>1548000</v>
      </c>
      <c r="E219" s="99" t="s">
        <v>4267</v>
      </c>
      <c r="F219" s="99">
        <v>1</v>
      </c>
      <c r="G219" s="36">
        <f t="shared" si="21"/>
        <v>2</v>
      </c>
      <c r="H219" s="99">
        <f t="shared" si="15"/>
        <v>1</v>
      </c>
      <c r="I219" s="99">
        <f t="shared" si="13"/>
        <v>1548000</v>
      </c>
      <c r="J219" s="99">
        <f t="shared" si="20"/>
        <v>0</v>
      </c>
      <c r="K219" s="99">
        <f t="shared" si="17"/>
        <v>1548000</v>
      </c>
    </row>
    <row r="220" spans="1:13" x14ac:dyDescent="0.25">
      <c r="A220" s="99" t="s">
        <v>4268</v>
      </c>
      <c r="B220" s="18">
        <v>-1400700</v>
      </c>
      <c r="C220" s="18">
        <v>0</v>
      </c>
      <c r="D220" s="18">
        <f t="shared" si="18"/>
        <v>-1400700</v>
      </c>
      <c r="E220" s="99" t="s">
        <v>4269</v>
      </c>
      <c r="F220" s="99">
        <v>0</v>
      </c>
      <c r="G220" s="36">
        <f t="shared" si="21"/>
        <v>1</v>
      </c>
      <c r="H220" s="99">
        <f t="shared" si="15"/>
        <v>0</v>
      </c>
      <c r="I220" s="99">
        <f t="shared" si="13"/>
        <v>-1400700</v>
      </c>
      <c r="J220" s="99">
        <f t="shared" si="20"/>
        <v>0</v>
      </c>
      <c r="K220" s="99">
        <f t="shared" si="17"/>
        <v>-1400700</v>
      </c>
    </row>
    <row r="221" spans="1:13" x14ac:dyDescent="0.25">
      <c r="A221" s="99" t="s">
        <v>4268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1</v>
      </c>
      <c r="H221" s="99">
        <f t="shared" si="15"/>
        <v>0</v>
      </c>
      <c r="I221" s="99">
        <f t="shared" si="13"/>
        <v>-10000</v>
      </c>
      <c r="J221" s="99">
        <f t="shared" si="20"/>
        <v>0</v>
      </c>
      <c r="K221" s="99">
        <f t="shared" si="17"/>
        <v>-10000</v>
      </c>
    </row>
    <row r="222" spans="1:13" x14ac:dyDescent="0.25">
      <c r="A222" s="99" t="s">
        <v>4268</v>
      </c>
      <c r="B222" s="18">
        <v>-5000</v>
      </c>
      <c r="C222" s="18">
        <v>-2500</v>
      </c>
      <c r="D222" s="18">
        <f t="shared" si="18"/>
        <v>-2500</v>
      </c>
      <c r="E222" s="99" t="s">
        <v>4286</v>
      </c>
      <c r="F222" s="99">
        <v>1</v>
      </c>
      <c r="G222" s="36">
        <f t="shared" si="21"/>
        <v>1</v>
      </c>
      <c r="H222" s="99">
        <f t="shared" si="15"/>
        <v>0</v>
      </c>
      <c r="I222" s="99">
        <f t="shared" si="13"/>
        <v>-5000</v>
      </c>
      <c r="J222" s="99">
        <f t="shared" si="20"/>
        <v>-2500</v>
      </c>
      <c r="K222" s="99">
        <f t="shared" si="17"/>
        <v>-2500</v>
      </c>
    </row>
    <row r="223" spans="1:13" x14ac:dyDescent="0.25">
      <c r="A223" s="99"/>
      <c r="B223" s="18"/>
      <c r="C223" s="18"/>
      <c r="D223" s="18">
        <f t="shared" si="18"/>
        <v>0</v>
      </c>
      <c r="E223" s="99"/>
      <c r="F223" s="99"/>
      <c r="G223" s="36">
        <f t="shared" si="21"/>
        <v>0</v>
      </c>
      <c r="H223" s="99">
        <f t="shared" si="15"/>
        <v>0</v>
      </c>
      <c r="I223" s="99">
        <f t="shared" si="13"/>
        <v>0</v>
      </c>
      <c r="J223" s="99">
        <f t="shared" si="20"/>
        <v>0</v>
      </c>
      <c r="K223" s="99">
        <f t="shared" si="17"/>
        <v>0</v>
      </c>
      <c r="M223" t="s">
        <v>25</v>
      </c>
    </row>
    <row r="224" spans="1:13" x14ac:dyDescent="0.25">
      <c r="A224" s="99"/>
      <c r="B224" s="18"/>
      <c r="C224" s="18"/>
      <c r="D224" s="18">
        <f t="shared" si="18"/>
        <v>0</v>
      </c>
      <c r="E224" s="99"/>
      <c r="F224" s="99"/>
      <c r="G224" s="36">
        <f t="shared" si="21"/>
        <v>0</v>
      </c>
      <c r="H224" s="99">
        <f t="shared" si="15"/>
        <v>0</v>
      </c>
      <c r="I224" s="99">
        <f t="shared" si="13"/>
        <v>0</v>
      </c>
      <c r="J224" s="99">
        <f t="shared" si="20"/>
        <v>0</v>
      </c>
      <c r="K224" s="99">
        <f t="shared" si="17"/>
        <v>0</v>
      </c>
      <c r="M224" t="s">
        <v>25</v>
      </c>
    </row>
    <row r="225" spans="1:13" x14ac:dyDescent="0.25">
      <c r="A225" s="99"/>
      <c r="B225" s="18"/>
      <c r="C225" s="18"/>
      <c r="D225" s="18">
        <f t="shared" si="18"/>
        <v>0</v>
      </c>
      <c r="E225" s="99"/>
      <c r="F225" s="99"/>
      <c r="G225" s="36">
        <f t="shared" si="21"/>
        <v>0</v>
      </c>
      <c r="H225" s="99">
        <f t="shared" si="15"/>
        <v>0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196867</v>
      </c>
      <c r="C267" s="29">
        <f>SUM(C2:C256)</f>
        <v>7903817</v>
      </c>
      <c r="D267" s="29">
        <f>SUM(D2:D254)</f>
        <v>-7706950</v>
      </c>
      <c r="E267" s="11"/>
      <c r="F267" s="11"/>
      <c r="G267" s="11"/>
      <c r="H267" s="11"/>
      <c r="I267" s="29">
        <f>SUM(I2:I266)</f>
        <v>18780435080</v>
      </c>
      <c r="J267" s="29">
        <f>SUM(J2:J266)</f>
        <v>8202433936</v>
      </c>
      <c r="K267" s="29">
        <f>SUM(K2:K266)</f>
        <v>10578001144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20570027.469879519</v>
      </c>
      <c r="J270" s="29">
        <f>J267/G2</f>
        <v>8984045.9320920035</v>
      </c>
      <c r="K270" s="29">
        <f>K267/G2</f>
        <v>11585981.537787514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-6510311</v>
      </c>
      <c r="G274" t="s">
        <v>25</v>
      </c>
      <c r="J274">
        <f>J267/I267*1448696</f>
        <v>632724.06537599</v>
      </c>
      <c r="K274">
        <f>K267/I267*1448696</f>
        <v>815971.93462401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4052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4051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4051</v>
      </c>
      <c r="B6" s="18">
        <v>-33377</v>
      </c>
      <c r="C6" s="18">
        <v>0</v>
      </c>
      <c r="D6" s="113">
        <f t="shared" si="0"/>
        <v>-33377</v>
      </c>
      <c r="E6" s="19" t="s">
        <v>4055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4074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4074</v>
      </c>
      <c r="B8" s="18">
        <v>18000000</v>
      </c>
      <c r="C8" s="18">
        <v>0</v>
      </c>
      <c r="D8" s="113">
        <f t="shared" si="0"/>
        <v>18000000</v>
      </c>
      <c r="E8" s="19" t="s">
        <v>4075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4074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4074</v>
      </c>
      <c r="B10" s="18">
        <v>-11600</v>
      </c>
      <c r="C10" s="18">
        <v>0</v>
      </c>
      <c r="D10" s="113">
        <f t="shared" si="0"/>
        <v>-11600</v>
      </c>
      <c r="E10" s="19" t="s">
        <v>4078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4074</v>
      </c>
      <c r="B11" s="18">
        <v>-3304327</v>
      </c>
      <c r="C11" s="18">
        <v>0</v>
      </c>
      <c r="D11" s="113">
        <f t="shared" si="0"/>
        <v>-3304327</v>
      </c>
      <c r="E11" s="19" t="s">
        <v>4079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4083</v>
      </c>
      <c r="B12" s="18">
        <v>-3000900</v>
      </c>
      <c r="C12" s="18">
        <v>0</v>
      </c>
      <c r="D12" s="113">
        <f t="shared" si="0"/>
        <v>-3000900</v>
      </c>
      <c r="E12" s="20" t="s">
        <v>4084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4088</v>
      </c>
      <c r="B13" s="18">
        <v>-2760900</v>
      </c>
      <c r="C13" s="18">
        <v>0</v>
      </c>
      <c r="D13" s="113">
        <f t="shared" si="0"/>
        <v>-2760900</v>
      </c>
      <c r="E13" s="20" t="s">
        <v>4089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4102</v>
      </c>
      <c r="B14" s="18">
        <v>1000000</v>
      </c>
      <c r="C14" s="18">
        <v>0</v>
      </c>
      <c r="D14" s="113">
        <f t="shared" si="0"/>
        <v>1000000</v>
      </c>
      <c r="E14" s="20" t="s">
        <v>4081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4118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4114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4114</v>
      </c>
      <c r="B17" s="18">
        <v>783000</v>
      </c>
      <c r="C17" s="18">
        <v>0</v>
      </c>
      <c r="D17" s="113">
        <f t="shared" si="0"/>
        <v>783000</v>
      </c>
      <c r="E17" s="20" t="s">
        <v>4122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4126</v>
      </c>
      <c r="B18" s="18">
        <v>-750500</v>
      </c>
      <c r="C18" s="18">
        <v>0</v>
      </c>
      <c r="D18" s="113">
        <f t="shared" si="0"/>
        <v>-750500</v>
      </c>
      <c r="E18" s="20" t="s">
        <v>4127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4139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4139</v>
      </c>
      <c r="B20" s="18">
        <v>-99000</v>
      </c>
      <c r="C20" s="18">
        <v>0</v>
      </c>
      <c r="D20" s="113">
        <f t="shared" si="0"/>
        <v>-99000</v>
      </c>
      <c r="E20" s="19" t="s">
        <v>4141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4142</v>
      </c>
      <c r="B21" s="18">
        <v>-205750</v>
      </c>
      <c r="C21" s="18">
        <v>0</v>
      </c>
      <c r="D21" s="113">
        <f t="shared" si="0"/>
        <v>-205750</v>
      </c>
      <c r="E21" s="19" t="s">
        <v>4143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4142</v>
      </c>
      <c r="B22" s="18">
        <v>-95000</v>
      </c>
      <c r="C22" s="18">
        <v>0</v>
      </c>
      <c r="D22" s="113">
        <f t="shared" si="0"/>
        <v>-95000</v>
      </c>
      <c r="E22" s="19" t="s">
        <v>4144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4164</v>
      </c>
      <c r="B23" s="18">
        <v>48650000</v>
      </c>
      <c r="C23" s="18">
        <v>0</v>
      </c>
      <c r="D23" s="113">
        <f t="shared" si="0"/>
        <v>48650000</v>
      </c>
      <c r="E23" s="19" t="s">
        <v>4165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4164</v>
      </c>
      <c r="B24" s="18">
        <v>-3005900</v>
      </c>
      <c r="C24" s="18">
        <v>0</v>
      </c>
      <c r="D24" s="113">
        <f t="shared" si="0"/>
        <v>-3005900</v>
      </c>
      <c r="E24" s="19" t="s">
        <v>4167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4172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4172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2" t="s">
        <v>4185</v>
      </c>
      <c r="B27" s="18">
        <v>-18500</v>
      </c>
      <c r="C27" s="18">
        <v>0</v>
      </c>
      <c r="D27" s="18">
        <f t="shared" ref="D27" si="4">B27-C27</f>
        <v>-18500</v>
      </c>
      <c r="E27" s="172" t="s">
        <v>4186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4182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4050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4090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4092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4101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4104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4115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4115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4120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4133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4130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4132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4138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4140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4141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4152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4153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4156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4157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4174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4175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4176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4177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4179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4183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4184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4187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4284</v>
      </c>
      <c r="B72" s="113">
        <v>-5000</v>
      </c>
      <c r="C72" s="99" t="s">
        <v>4285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D16" sqref="D16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76198.780437407651</v>
      </c>
      <c r="C2" s="86">
        <f t="shared" ref="C2:C20" si="0">$S2/(1+($C$1-$O2+$P2)/36500)^$N2</f>
        <v>79584.942402156055</v>
      </c>
      <c r="D2" s="86">
        <f>$S2/(1+($D$1-$O2+$P2)/36500)^$N2</f>
        <v>80018.685440474437</v>
      </c>
      <c r="E2" s="86">
        <f>$S2/(1+($E$1-$O2+$P2)/36500)^$N2</f>
        <v>80454.798393150719</v>
      </c>
      <c r="F2" s="86">
        <f>$S2/(1+($F$1-$O2+$P2)/36500)^$N2</f>
        <v>80893.294241805241</v>
      </c>
      <c r="G2" s="86">
        <f>$S2/(1+($G$1-$O2+$P2)/36500)^$N2</f>
        <v>81334.186039325592</v>
      </c>
      <c r="H2" s="86">
        <f>$S2/(1+($H$1-$O2+$P2)/36500)^$N2</f>
        <v>81777.486910300999</v>
      </c>
      <c r="I2" s="86">
        <f>$S2/(1+($I$1-$O2+$P2)/36500)^$N2</f>
        <v>82223.210051379414</v>
      </c>
      <c r="J2" s="86">
        <f>$S2/(1+($J$1-$O2+$P2)/36500)^$N2</f>
        <v>82671.368731687835</v>
      </c>
      <c r="K2" s="86">
        <f>$S2/(1+($K$1-$O2+$P2)/36500)^$N2</f>
        <v>83121.976293237065</v>
      </c>
      <c r="L2" s="86">
        <f t="shared" ref="L2:L36" si="1">$S2/(1+($AC$5-$O2+$P2)/36500)^$N2</f>
        <v>80454.798393150719</v>
      </c>
      <c r="M2" s="148" t="s">
        <v>993</v>
      </c>
      <c r="N2" s="148">
        <f>601-$AD$19</f>
        <v>397</v>
      </c>
      <c r="O2" s="148">
        <v>0</v>
      </c>
      <c r="P2" s="148">
        <v>0</v>
      </c>
      <c r="Q2" s="148">
        <v>0</v>
      </c>
      <c r="R2" s="148">
        <f t="shared" ref="R2:R36" si="2">N2/30.5</f>
        <v>13.016393442622951</v>
      </c>
      <c r="S2" s="86">
        <v>100000</v>
      </c>
      <c r="T2" s="86">
        <v>73200</v>
      </c>
      <c r="U2" s="86">
        <f t="shared" ref="U2:U36" si="3">B2*(1+$AC$2/36500)^N2</f>
        <v>99999.999999999985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2" t="s">
        <v>4249</v>
      </c>
      <c r="B3" s="193">
        <f>$S3/(1+($B$1-$O3+$P3)/36500)^$N3</f>
        <v>95450.786180098105</v>
      </c>
      <c r="C3" s="193">
        <f t="shared" si="0"/>
        <v>96164.296318930865</v>
      </c>
      <c r="D3" s="193">
        <f t="shared" ref="D3:D36" si="5">$S3/(1+($D$1-$O3+$P3)/36500)^$N3</f>
        <v>96253.864810898493</v>
      </c>
      <c r="E3" s="193">
        <f t="shared" ref="E3:E36" si="6">$S3/(1+($E$1-$O3+$P3)/36500)^$N3</f>
        <v>96343.517955950665</v>
      </c>
      <c r="F3" s="193">
        <f t="shared" ref="F3:F36" si="7">$S3/(1+($F$1-$O3+$P3)/36500)^$N3</f>
        <v>96433.255835257485</v>
      </c>
      <c r="G3" s="193">
        <f t="shared" ref="G3:G36" si="8">$S3/(1+($G$1-$O3+$P3)/36500)^$N3</f>
        <v>96523.078530063693</v>
      </c>
      <c r="H3" s="193">
        <f t="shared" ref="H3:H36" si="9">$S3/(1+($H$1-$O3+$P3)/36500)^$N3</f>
        <v>96612.986121697395</v>
      </c>
      <c r="I3" s="193">
        <f t="shared" ref="I3:I36" si="10">$S3/(1+($I$1-$O3+$P3)/36500)^$N3</f>
        <v>96702.978691562297</v>
      </c>
      <c r="J3" s="193">
        <f t="shared" ref="J3:J36" si="11">$S3/(1+($J$1-$O3+$P3)/36500)^$N3</f>
        <v>96793.056321142896</v>
      </c>
      <c r="K3" s="193">
        <f t="shared" ref="K3:K36" si="12">$S3/(1+($K$1-$O3+$P3)/36500)^$N3</f>
        <v>96883.219092005282</v>
      </c>
      <c r="L3" s="193">
        <f t="shared" si="1"/>
        <v>96343.517955950665</v>
      </c>
      <c r="M3" s="192" t="s">
        <v>4258</v>
      </c>
      <c r="N3" s="192">
        <f>272-$AD$19</f>
        <v>68</v>
      </c>
      <c r="O3" s="192">
        <v>0</v>
      </c>
      <c r="P3" s="192">
        <v>0</v>
      </c>
      <c r="Q3" s="192">
        <v>0</v>
      </c>
      <c r="R3" s="192"/>
      <c r="S3" s="193">
        <v>100000</v>
      </c>
      <c r="T3" s="193"/>
      <c r="U3" s="193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6" si="14">$S4/(1+($B$1-$O4+$P4)/36500)^$N4</f>
        <v>77673.719917216804</v>
      </c>
      <c r="C4" s="88">
        <f t="shared" si="0"/>
        <v>80877.031030127255</v>
      </c>
      <c r="D4" s="88">
        <f t="shared" si="5"/>
        <v>81286.649334724862</v>
      </c>
      <c r="E4" s="88">
        <f t="shared" si="6"/>
        <v>81698.347885950308</v>
      </c>
      <c r="F4" s="88">
        <f t="shared" si="7"/>
        <v>82112.137277043919</v>
      </c>
      <c r="G4" s="88">
        <f t="shared" si="8"/>
        <v>82528.028155316424</v>
      </c>
      <c r="H4" s="88">
        <f t="shared" si="9"/>
        <v>82946.031222465201</v>
      </c>
      <c r="I4" s="88">
        <f t="shared" si="10"/>
        <v>83366.157234817263</v>
      </c>
      <c r="J4" s="88">
        <f t="shared" si="11"/>
        <v>83788.417003631446</v>
      </c>
      <c r="K4" s="88">
        <f t="shared" si="12"/>
        <v>84212.821395384744</v>
      </c>
      <c r="L4" s="88">
        <f t="shared" si="1"/>
        <v>81698.347885950308</v>
      </c>
      <c r="M4" s="87" t="s">
        <v>994</v>
      </c>
      <c r="N4" s="87">
        <f>573-$AD$19</f>
        <v>369</v>
      </c>
      <c r="O4" s="87">
        <v>0</v>
      </c>
      <c r="P4" s="87">
        <v>0</v>
      </c>
      <c r="Q4" s="87">
        <v>0</v>
      </c>
      <c r="R4" s="87">
        <f t="shared" si="2"/>
        <v>12.098360655737705</v>
      </c>
      <c r="S4" s="88">
        <v>100000</v>
      </c>
      <c r="T4" s="88">
        <v>73600</v>
      </c>
      <c r="U4" s="88">
        <f t="shared" si="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94540.189331758302</v>
      </c>
      <c r="C5" s="57">
        <f t="shared" si="0"/>
        <v>95393.044822311029</v>
      </c>
      <c r="D5" s="57">
        <f t="shared" si="5"/>
        <v>95500.197908298171</v>
      </c>
      <c r="E5" s="57">
        <f t="shared" si="6"/>
        <v>95607.47282669651</v>
      </c>
      <c r="F5" s="57">
        <f t="shared" si="7"/>
        <v>95714.869717702008</v>
      </c>
      <c r="G5" s="57">
        <f t="shared" si="8"/>
        <v>95822.388721668889</v>
      </c>
      <c r="H5" s="57">
        <f t="shared" si="9"/>
        <v>95930.02997911979</v>
      </c>
      <c r="I5" s="57">
        <f t="shared" si="10"/>
        <v>96037.793630737026</v>
      </c>
      <c r="J5" s="57">
        <f t="shared" si="11"/>
        <v>96145.679817368451</v>
      </c>
      <c r="K5" s="57">
        <f t="shared" si="12"/>
        <v>96253.688680028907</v>
      </c>
      <c r="L5" s="57">
        <f t="shared" si="1"/>
        <v>95607.47282669651</v>
      </c>
      <c r="M5" s="12" t="s">
        <v>996</v>
      </c>
      <c r="N5" s="12">
        <f>286-$AD$19</f>
        <v>82</v>
      </c>
      <c r="O5" s="12">
        <v>0</v>
      </c>
      <c r="P5" s="12">
        <v>0</v>
      </c>
      <c r="Q5" s="12">
        <v>0</v>
      </c>
      <c r="R5" s="12">
        <f t="shared" si="2"/>
        <v>2.6885245901639343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83406.435293795104</v>
      </c>
      <c r="C6" s="86">
        <f t="shared" si="0"/>
        <v>85862.594124146883</v>
      </c>
      <c r="D6" s="86">
        <f t="shared" si="5"/>
        <v>86174.675793618313</v>
      </c>
      <c r="E6" s="86">
        <f t="shared" si="6"/>
        <v>86487.896071092226</v>
      </c>
      <c r="F6" s="86">
        <f t="shared" si="7"/>
        <v>86802.259126381119</v>
      </c>
      <c r="G6" s="86">
        <f t="shared" si="8"/>
        <v>87117.769144610516</v>
      </c>
      <c r="H6" s="86">
        <f t="shared" si="9"/>
        <v>87434.430326305635</v>
      </c>
      <c r="I6" s="86">
        <f t="shared" si="10"/>
        <v>87752.246887421134</v>
      </c>
      <c r="J6" s="86">
        <f t="shared" si="11"/>
        <v>88071.22305941509</v>
      </c>
      <c r="K6" s="86">
        <f t="shared" si="12"/>
        <v>88391.363089310107</v>
      </c>
      <c r="L6" s="86">
        <f t="shared" si="1"/>
        <v>86487.896071092226</v>
      </c>
      <c r="M6" s="148" t="s">
        <v>995</v>
      </c>
      <c r="N6" s="148">
        <f>469-$AD$19</f>
        <v>265</v>
      </c>
      <c r="O6" s="148">
        <v>0</v>
      </c>
      <c r="P6" s="148">
        <v>0</v>
      </c>
      <c r="Q6" s="148">
        <v>0</v>
      </c>
      <c r="R6" s="148">
        <f t="shared" si="2"/>
        <v>8.6885245901639347</v>
      </c>
      <c r="S6" s="86">
        <v>100000</v>
      </c>
      <c r="T6" s="86">
        <v>78300</v>
      </c>
      <c r="U6" s="86">
        <f t="shared" si="3"/>
        <v>99999.999999999985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2" t="s">
        <v>986</v>
      </c>
      <c r="B7" s="193">
        <f t="shared" si="14"/>
        <v>83406.435293795104</v>
      </c>
      <c r="C7" s="193">
        <f t="shared" si="0"/>
        <v>85862.594124146883</v>
      </c>
      <c r="D7" s="193">
        <f t="shared" si="5"/>
        <v>86174.675793618313</v>
      </c>
      <c r="E7" s="193">
        <f t="shared" si="6"/>
        <v>86487.896071092226</v>
      </c>
      <c r="F7" s="193">
        <f t="shared" si="7"/>
        <v>86802.259126381119</v>
      </c>
      <c r="G7" s="193">
        <f t="shared" si="8"/>
        <v>87117.769144610516</v>
      </c>
      <c r="H7" s="193">
        <f t="shared" si="9"/>
        <v>87434.430326305635</v>
      </c>
      <c r="I7" s="193">
        <f t="shared" si="10"/>
        <v>87752.246887421134</v>
      </c>
      <c r="J7" s="193">
        <f t="shared" si="11"/>
        <v>88071.22305941509</v>
      </c>
      <c r="K7" s="193">
        <f t="shared" si="12"/>
        <v>88391.363089310107</v>
      </c>
      <c r="L7" s="193">
        <f t="shared" si="1"/>
        <v>86487.896071092226</v>
      </c>
      <c r="M7" s="192" t="s">
        <v>995</v>
      </c>
      <c r="N7" s="192">
        <f>469-$AD$19</f>
        <v>265</v>
      </c>
      <c r="O7" s="192">
        <v>0</v>
      </c>
      <c r="P7" s="192">
        <v>0</v>
      </c>
      <c r="Q7" s="192">
        <v>0</v>
      </c>
      <c r="R7" s="192">
        <f t="shared" si="2"/>
        <v>8.6885245901639347</v>
      </c>
      <c r="S7" s="193">
        <v>100000</v>
      </c>
      <c r="T7" s="193">
        <v>77700</v>
      </c>
      <c r="U7" s="193">
        <f t="shared" si="3"/>
        <v>99999.999999999985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75110.985006022136</v>
      </c>
      <c r="C8" s="88">
        <f t="shared" si="0"/>
        <v>78629.440607439596</v>
      </c>
      <c r="D8" s="88">
        <f t="shared" si="5"/>
        <v>79080.709151254734</v>
      </c>
      <c r="E8" s="88">
        <f t="shared" si="6"/>
        <v>79534.573838232027</v>
      </c>
      <c r="F8" s="88">
        <f t="shared" si="7"/>
        <v>79991.049639817196</v>
      </c>
      <c r="G8" s="88">
        <f t="shared" si="8"/>
        <v>80450.151613978363</v>
      </c>
      <c r="H8" s="88">
        <f t="shared" si="9"/>
        <v>80911.894905750829</v>
      </c>
      <c r="I8" s="88">
        <f t="shared" si="10"/>
        <v>81376.294747702574</v>
      </c>
      <c r="J8" s="88">
        <f t="shared" si="11"/>
        <v>81843.366460466059</v>
      </c>
      <c r="K8" s="88">
        <f t="shared" si="12"/>
        <v>82313.12545325447</v>
      </c>
      <c r="L8" s="88">
        <f t="shared" si="1"/>
        <v>79534.573838232027</v>
      </c>
      <c r="M8" s="87" t="s">
        <v>999</v>
      </c>
      <c r="N8" s="87">
        <f>622-$AD$19</f>
        <v>418</v>
      </c>
      <c r="O8" s="87">
        <v>0</v>
      </c>
      <c r="P8" s="87">
        <v>0</v>
      </c>
      <c r="Q8" s="87">
        <v>0</v>
      </c>
      <c r="R8" s="87">
        <f t="shared" si="2"/>
        <v>13.704918032786885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4250</v>
      </c>
      <c r="B9" s="86">
        <f t="shared" si="14"/>
        <v>96304.191984644247</v>
      </c>
      <c r="C9" s="86">
        <f t="shared" si="0"/>
        <v>96886.040720061748</v>
      </c>
      <c r="D9" s="86">
        <f t="shared" si="5"/>
        <v>96959.023052050848</v>
      </c>
      <c r="E9" s="86">
        <f t="shared" si="6"/>
        <v>97032.061360514534</v>
      </c>
      <c r="F9" s="86">
        <f t="shared" si="7"/>
        <v>97105.155689154795</v>
      </c>
      <c r="G9" s="86">
        <f t="shared" si="8"/>
        <v>97178.306081705086</v>
      </c>
      <c r="H9" s="86">
        <f t="shared" si="9"/>
        <v>97251.512581936957</v>
      </c>
      <c r="I9" s="86">
        <f t="shared" si="10"/>
        <v>97324.775233654</v>
      </c>
      <c r="J9" s="86">
        <f t="shared" si="11"/>
        <v>97398.094080695781</v>
      </c>
      <c r="K9" s="86">
        <f t="shared" si="12"/>
        <v>97471.469166938827</v>
      </c>
      <c r="L9" s="86">
        <f t="shared" si="1"/>
        <v>97032.061360514534</v>
      </c>
      <c r="M9" s="148" t="s">
        <v>4259</v>
      </c>
      <c r="N9" s="148">
        <f>259-$AD$19</f>
        <v>55</v>
      </c>
      <c r="O9" s="148">
        <v>0</v>
      </c>
      <c r="P9" s="148">
        <v>0</v>
      </c>
      <c r="Q9" s="148">
        <v>0</v>
      </c>
      <c r="R9" s="148">
        <f t="shared" si="2"/>
        <v>1.8032786885245902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2" t="s">
        <v>988</v>
      </c>
      <c r="B10" s="193">
        <f t="shared" si="14"/>
        <v>71939.889750592542</v>
      </c>
      <c r="C10" s="193">
        <f t="shared" si="0"/>
        <v>75831.216837376516</v>
      </c>
      <c r="D10" s="193">
        <f t="shared" si="5"/>
        <v>76332.23582132555</v>
      </c>
      <c r="E10" s="193">
        <f t="shared" si="6"/>
        <v>76836.571979346147</v>
      </c>
      <c r="F10" s="193">
        <f t="shared" si="7"/>
        <v>77344.247319846181</v>
      </c>
      <c r="G10" s="193">
        <f t="shared" si="8"/>
        <v>77855.283997532286</v>
      </c>
      <c r="H10" s="193">
        <f t="shared" si="9"/>
        <v>78369.7043144333</v>
      </c>
      <c r="I10" s="193">
        <f t="shared" si="10"/>
        <v>78887.530720838098</v>
      </c>
      <c r="J10" s="193">
        <f t="shared" si="11"/>
        <v>79408.785816310992</v>
      </c>
      <c r="K10" s="193">
        <f t="shared" si="12"/>
        <v>79933.492350692599</v>
      </c>
      <c r="L10" s="193">
        <f t="shared" si="1"/>
        <v>76836.571979346147</v>
      </c>
      <c r="M10" s="192" t="s">
        <v>1000</v>
      </c>
      <c r="N10" s="192">
        <f>685-$AD$19</f>
        <v>481</v>
      </c>
      <c r="O10" s="192">
        <v>0</v>
      </c>
      <c r="P10" s="192">
        <v>0</v>
      </c>
      <c r="Q10" s="192">
        <v>0</v>
      </c>
      <c r="R10" s="192">
        <f t="shared" si="2"/>
        <v>15.770491803278688</v>
      </c>
      <c r="S10" s="193">
        <v>100000</v>
      </c>
      <c r="T10" s="193">
        <v>70000</v>
      </c>
      <c r="U10" s="193">
        <f t="shared" si="3"/>
        <v>100000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73332.392136551643</v>
      </c>
      <c r="C11" s="88">
        <f t="shared" si="0"/>
        <v>77062.362453159993</v>
      </c>
      <c r="D11" s="88">
        <f t="shared" si="5"/>
        <v>77541.784796743916</v>
      </c>
      <c r="E11" s="88">
        <f t="shared" si="6"/>
        <v>78024.196360013404</v>
      </c>
      <c r="F11" s="88">
        <f t="shared" si="7"/>
        <v>78509.61582220663</v>
      </c>
      <c r="G11" s="88">
        <f t="shared" si="8"/>
        <v>78998.061979520629</v>
      </c>
      <c r="H11" s="88">
        <f t="shared" si="9"/>
        <v>79489.553745891986</v>
      </c>
      <c r="I11" s="88">
        <f t="shared" si="10"/>
        <v>79984.110153694244</v>
      </c>
      <c r="J11" s="88">
        <f t="shared" si="11"/>
        <v>80481.750354507283</v>
      </c>
      <c r="K11" s="88">
        <f t="shared" si="12"/>
        <v>80982.493619872024</v>
      </c>
      <c r="L11" s="88">
        <f t="shared" si="1"/>
        <v>78024.196360013404</v>
      </c>
      <c r="M11" s="87" t="s">
        <v>1001</v>
      </c>
      <c r="N11" s="87">
        <f>657-$AD$19</f>
        <v>453</v>
      </c>
      <c r="O11" s="87">
        <v>0</v>
      </c>
      <c r="P11" s="87">
        <v>0</v>
      </c>
      <c r="Q11" s="87">
        <v>0</v>
      </c>
      <c r="R11" s="87">
        <f t="shared" si="2"/>
        <v>14.852459016393443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73332.392136551643</v>
      </c>
      <c r="C12" s="86">
        <f t="shared" si="0"/>
        <v>77062.362453159993</v>
      </c>
      <c r="D12" s="86">
        <f t="shared" si="5"/>
        <v>77541.784796743916</v>
      </c>
      <c r="E12" s="86">
        <f t="shared" si="6"/>
        <v>78024.196360013404</v>
      </c>
      <c r="F12" s="86">
        <f t="shared" si="7"/>
        <v>78509.61582220663</v>
      </c>
      <c r="G12" s="86">
        <f t="shared" si="8"/>
        <v>78998.061979520629</v>
      </c>
      <c r="H12" s="86">
        <f t="shared" si="9"/>
        <v>79489.553745891986</v>
      </c>
      <c r="I12" s="86">
        <f t="shared" si="10"/>
        <v>79984.110153694244</v>
      </c>
      <c r="J12" s="86">
        <f t="shared" si="11"/>
        <v>80481.750354507283</v>
      </c>
      <c r="K12" s="86">
        <f t="shared" si="12"/>
        <v>80982.493619872024</v>
      </c>
      <c r="L12" s="86">
        <f t="shared" si="1"/>
        <v>78024.196360013404</v>
      </c>
      <c r="M12" s="148" t="s">
        <v>1001</v>
      </c>
      <c r="N12" s="148">
        <f>657-$AD$19</f>
        <v>453</v>
      </c>
      <c r="O12" s="148">
        <v>0</v>
      </c>
      <c r="P12" s="148">
        <v>0</v>
      </c>
      <c r="Q12" s="148">
        <v>0</v>
      </c>
      <c r="R12" s="148">
        <f t="shared" si="2"/>
        <v>14.852459016393443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2" t="s">
        <v>991</v>
      </c>
      <c r="B13" s="193">
        <f t="shared" si="14"/>
        <v>76198.780437407651</v>
      </c>
      <c r="C13" s="193">
        <f t="shared" si="0"/>
        <v>79584.942402156055</v>
      </c>
      <c r="D13" s="193">
        <f t="shared" si="5"/>
        <v>80018.685440474437</v>
      </c>
      <c r="E13" s="193">
        <f t="shared" si="6"/>
        <v>80454.798393150719</v>
      </c>
      <c r="F13" s="193">
        <f t="shared" si="7"/>
        <v>80893.294241805241</v>
      </c>
      <c r="G13" s="193">
        <f t="shared" si="8"/>
        <v>81334.186039325592</v>
      </c>
      <c r="H13" s="193">
        <f t="shared" si="9"/>
        <v>81777.486910300999</v>
      </c>
      <c r="I13" s="193">
        <f t="shared" si="10"/>
        <v>82223.210051379414</v>
      </c>
      <c r="J13" s="193">
        <f t="shared" si="11"/>
        <v>82671.368731687835</v>
      </c>
      <c r="K13" s="193">
        <f t="shared" si="12"/>
        <v>83121.976293237065</v>
      </c>
      <c r="L13" s="193">
        <f t="shared" si="1"/>
        <v>80454.798393150719</v>
      </c>
      <c r="M13" s="192" t="s">
        <v>993</v>
      </c>
      <c r="N13" s="192">
        <f>601-$AD$19</f>
        <v>397</v>
      </c>
      <c r="O13" s="192">
        <v>0</v>
      </c>
      <c r="P13" s="192">
        <v>0</v>
      </c>
      <c r="Q13" s="192">
        <v>0</v>
      </c>
      <c r="R13" s="192">
        <f t="shared" si="2"/>
        <v>13.016393442622951</v>
      </c>
      <c r="S13" s="193">
        <v>100000</v>
      </c>
      <c r="T13" s="193">
        <v>73100</v>
      </c>
      <c r="U13" s="193">
        <f t="shared" si="3"/>
        <v>99999.999999999985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80986.58268652983</v>
      </c>
      <c r="C14" s="88">
        <f t="shared" si="0"/>
        <v>83765.033905138189</v>
      </c>
      <c r="D14" s="88">
        <f t="shared" si="5"/>
        <v>84118.998468795879</v>
      </c>
      <c r="E14" s="88">
        <f t="shared" si="6"/>
        <v>84474.46365173049</v>
      </c>
      <c r="F14" s="88">
        <f t="shared" si="7"/>
        <v>84831.435836444332</v>
      </c>
      <c r="G14" s="88">
        <f t="shared" si="8"/>
        <v>85189.921432656905</v>
      </c>
      <c r="H14" s="88">
        <f t="shared" si="9"/>
        <v>85549.926877455538</v>
      </c>
      <c r="I14" s="88">
        <f t="shared" si="10"/>
        <v>85911.45863538202</v>
      </c>
      <c r="J14" s="88">
        <f t="shared" si="11"/>
        <v>86274.523198569324</v>
      </c>
      <c r="K14" s="88">
        <f t="shared" si="12"/>
        <v>86639.127086864275</v>
      </c>
      <c r="L14" s="88">
        <f t="shared" si="1"/>
        <v>84474.46365173049</v>
      </c>
      <c r="M14" s="87" t="s">
        <v>3857</v>
      </c>
      <c r="N14" s="87">
        <f>512-$AD$19</f>
        <v>308</v>
      </c>
      <c r="O14" s="87">
        <v>0</v>
      </c>
      <c r="P14" s="87">
        <v>0</v>
      </c>
      <c r="Q14" s="87">
        <v>0</v>
      </c>
      <c r="R14" s="87">
        <f t="shared" si="2"/>
        <v>10.098360655737705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62862.235081062419</v>
      </c>
      <c r="C15" s="57">
        <f t="shared" si="0"/>
        <v>67707.717338810995</v>
      </c>
      <c r="D15" s="57">
        <f t="shared" si="5"/>
        <v>68339.133056400184</v>
      </c>
      <c r="E15" s="57">
        <f t="shared" si="6"/>
        <v>68976.44587617254</v>
      </c>
      <c r="F15" s="57">
        <f t="shared" si="7"/>
        <v>69619.71095595407</v>
      </c>
      <c r="G15" s="57">
        <f t="shared" si="8"/>
        <v>70268.983970217669</v>
      </c>
      <c r="H15" s="57">
        <f t="shared" si="9"/>
        <v>70924.321114991602</v>
      </c>
      <c r="I15" s="57">
        <f t="shared" si="10"/>
        <v>71585.779112696822</v>
      </c>
      <c r="J15" s="57">
        <f t="shared" si="11"/>
        <v>72253.415217120229</v>
      </c>
      <c r="K15" s="57">
        <f t="shared" si="12"/>
        <v>72927.287218408441</v>
      </c>
      <c r="L15" s="57">
        <f t="shared" si="1"/>
        <v>68976.44587617254</v>
      </c>
      <c r="M15" s="12" t="s">
        <v>3911</v>
      </c>
      <c r="N15" s="12">
        <f>882-$AD$19</f>
        <v>678</v>
      </c>
      <c r="O15" s="12">
        <v>0</v>
      </c>
      <c r="P15" s="12">
        <v>0</v>
      </c>
      <c r="Q15" s="12">
        <v>0</v>
      </c>
      <c r="R15" s="12">
        <f t="shared" si="2"/>
        <v>22.229508196721312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61668.549592470918</v>
      </c>
      <c r="C16" s="86">
        <f t="shared" si="0"/>
        <v>66626.021207226018</v>
      </c>
      <c r="D16" s="86">
        <f t="shared" si="5"/>
        <v>67273.133239836519</v>
      </c>
      <c r="E16" s="86">
        <f t="shared" si="6"/>
        <v>67926.539403104398</v>
      </c>
      <c r="F16" s="86">
        <f t="shared" si="7"/>
        <v>68586.301004296183</v>
      </c>
      <c r="G16" s="86">
        <f t="shared" si="8"/>
        <v>69252.479948654829</v>
      </c>
      <c r="H16" s="86">
        <f t="shared" si="9"/>
        <v>69925.138745304139</v>
      </c>
      <c r="I16" s="86">
        <f t="shared" si="10"/>
        <v>70604.340513090923</v>
      </c>
      <c r="J16" s="86">
        <f t="shared" si="11"/>
        <v>71290.148986576562</v>
      </c>
      <c r="K16" s="86">
        <f t="shared" si="12"/>
        <v>71982.628522060884</v>
      </c>
      <c r="L16" s="86">
        <f t="shared" si="1"/>
        <v>67926.539403104398</v>
      </c>
      <c r="M16" s="148" t="s">
        <v>4236</v>
      </c>
      <c r="N16" s="148">
        <f>910-$AD$19</f>
        <v>706</v>
      </c>
      <c r="O16" s="148">
        <v>0</v>
      </c>
      <c r="P16" s="148">
        <v>0</v>
      </c>
      <c r="Q16" s="148">
        <v>0</v>
      </c>
      <c r="R16" s="148">
        <f t="shared" si="2"/>
        <v>23.147540983606557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2" t="s">
        <v>4251</v>
      </c>
      <c r="B17" s="193">
        <f t="shared" si="14"/>
        <v>95843.72198275679</v>
      </c>
      <c r="C17" s="193">
        <f t="shared" si="0"/>
        <v>96496.73858861698</v>
      </c>
      <c r="D17" s="193">
        <f t="shared" si="5"/>
        <v>96578.682931324685</v>
      </c>
      <c r="E17" s="193">
        <f t="shared" si="6"/>
        <v>96660.69798391551</v>
      </c>
      <c r="F17" s="193">
        <f t="shared" si="7"/>
        <v>96742.783808376189</v>
      </c>
      <c r="G17" s="193">
        <f t="shared" si="8"/>
        <v>96824.940466744927</v>
      </c>
      <c r="H17" s="193">
        <f t="shared" si="9"/>
        <v>96907.168021119011</v>
      </c>
      <c r="I17" s="193">
        <f t="shared" si="10"/>
        <v>96989.466533647908</v>
      </c>
      <c r="J17" s="193">
        <f t="shared" si="11"/>
        <v>97071.83606653774</v>
      </c>
      <c r="K17" s="193">
        <f t="shared" si="12"/>
        <v>97154.276682052398</v>
      </c>
      <c r="L17" s="193">
        <f t="shared" si="1"/>
        <v>96660.69798391551</v>
      </c>
      <c r="M17" s="192" t="s">
        <v>4260</v>
      </c>
      <c r="N17" s="192">
        <f>266-$AD$19</f>
        <v>62</v>
      </c>
      <c r="O17" s="192">
        <v>0</v>
      </c>
      <c r="P17" s="192">
        <v>0</v>
      </c>
      <c r="Q17" s="192">
        <v>0</v>
      </c>
      <c r="R17" s="192">
        <f t="shared" si="2"/>
        <v>2.0327868852459017</v>
      </c>
      <c r="S17" s="193">
        <v>100000</v>
      </c>
      <c r="T17" s="193"/>
      <c r="U17" s="193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4252</v>
      </c>
      <c r="B18" s="88">
        <f t="shared" si="14"/>
        <v>93638.279542513439</v>
      </c>
      <c r="C18" s="88">
        <f t="shared" si="0"/>
        <v>94627.978873694025</v>
      </c>
      <c r="D18" s="88">
        <f t="shared" si="5"/>
        <v>94752.43221082029</v>
      </c>
      <c r="E18" s="88">
        <f t="shared" si="6"/>
        <v>94877.050934415543</v>
      </c>
      <c r="F18" s="88">
        <f t="shared" si="7"/>
        <v>95001.835266534137</v>
      </c>
      <c r="G18" s="88">
        <f t="shared" si="8"/>
        <v>95126.785429525582</v>
      </c>
      <c r="H18" s="88">
        <f t="shared" si="9"/>
        <v>95251.901646047001</v>
      </c>
      <c r="I18" s="88">
        <f t="shared" si="10"/>
        <v>95377.18413905277</v>
      </c>
      <c r="J18" s="88">
        <f t="shared" si="11"/>
        <v>95502.633131801718</v>
      </c>
      <c r="K18" s="88">
        <f t="shared" si="12"/>
        <v>95628.248847859024</v>
      </c>
      <c r="L18" s="88">
        <f t="shared" si="1"/>
        <v>94877.050934415543</v>
      </c>
      <c r="M18" s="87" t="s">
        <v>4261</v>
      </c>
      <c r="N18" s="87">
        <f>300-$AD$19</f>
        <v>96</v>
      </c>
      <c r="O18" s="87">
        <v>0</v>
      </c>
      <c r="P18" s="87">
        <v>0</v>
      </c>
      <c r="Q18" s="87">
        <v>0</v>
      </c>
      <c r="R18" s="87">
        <f t="shared" si="2"/>
        <v>3.1475409836065573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4253</v>
      </c>
      <c r="B19" s="57">
        <f t="shared" si="14"/>
        <v>56882.049575740653</v>
      </c>
      <c r="C19" s="57">
        <f t="shared" si="0"/>
        <v>62254.095337076906</v>
      </c>
      <c r="D19" s="57">
        <f t="shared" si="5"/>
        <v>62960.376220771046</v>
      </c>
      <c r="E19" s="57">
        <f t="shared" si="6"/>
        <v>63674.679788482397</v>
      </c>
      <c r="F19" s="57">
        <f t="shared" si="7"/>
        <v>64397.097282059171</v>
      </c>
      <c r="G19" s="57">
        <f t="shared" si="8"/>
        <v>65127.720982277453</v>
      </c>
      <c r="H19" s="57">
        <f t="shared" si="9"/>
        <v>65866.644220755086</v>
      </c>
      <c r="I19" s="57">
        <f t="shared" si="10"/>
        <v>66613.961391870005</v>
      </c>
      <c r="J19" s="57">
        <f t="shared" si="11"/>
        <v>67369.767964916129</v>
      </c>
      <c r="K19" s="57">
        <f t="shared" si="12"/>
        <v>68134.160496368873</v>
      </c>
      <c r="L19" s="57">
        <f t="shared" si="1"/>
        <v>63674.679788482397</v>
      </c>
      <c r="M19" s="12" t="s">
        <v>4262</v>
      </c>
      <c r="N19" s="12">
        <f>1028-$AD$19</f>
        <v>824</v>
      </c>
      <c r="O19" s="12">
        <v>0</v>
      </c>
      <c r="P19" s="12">
        <v>0</v>
      </c>
      <c r="Q19" s="12">
        <v>0</v>
      </c>
      <c r="R19" s="12">
        <f t="shared" si="2"/>
        <v>27.016393442622952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204</v>
      </c>
      <c r="AF19" s="26"/>
    </row>
    <row r="20" spans="1:32" ht="22.5" customHeight="1" x14ac:dyDescent="0.25">
      <c r="A20" s="148" t="s">
        <v>4254</v>
      </c>
      <c r="B20" s="86">
        <f t="shared" si="14"/>
        <v>80986.58268652983</v>
      </c>
      <c r="C20" s="86">
        <f t="shared" si="0"/>
        <v>83765.033905138189</v>
      </c>
      <c r="D20" s="86">
        <f t="shared" si="5"/>
        <v>84118.998468795879</v>
      </c>
      <c r="E20" s="86">
        <f t="shared" si="6"/>
        <v>84474.46365173049</v>
      </c>
      <c r="F20" s="86">
        <f t="shared" si="7"/>
        <v>84831.435836444332</v>
      </c>
      <c r="G20" s="86">
        <f t="shared" si="8"/>
        <v>85189.921432656905</v>
      </c>
      <c r="H20" s="86">
        <f t="shared" si="9"/>
        <v>85549.926877455538</v>
      </c>
      <c r="I20" s="86">
        <f t="shared" si="10"/>
        <v>85911.45863538202</v>
      </c>
      <c r="J20" s="86">
        <f t="shared" si="11"/>
        <v>86274.523198569324</v>
      </c>
      <c r="K20" s="86">
        <f t="shared" si="12"/>
        <v>86639.127086864275</v>
      </c>
      <c r="L20" s="86">
        <f t="shared" si="1"/>
        <v>84474.46365173049</v>
      </c>
      <c r="M20" s="148" t="s">
        <v>3857</v>
      </c>
      <c r="N20" s="148">
        <f>512-$AD$19</f>
        <v>308</v>
      </c>
      <c r="O20" s="148">
        <v>0</v>
      </c>
      <c r="P20" s="148">
        <v>0</v>
      </c>
      <c r="Q20" s="148">
        <v>0</v>
      </c>
      <c r="R20" s="148">
        <f t="shared" si="2"/>
        <v>10.098360655737705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2" t="s">
        <v>4255</v>
      </c>
      <c r="B21" s="193">
        <f t="shared" si="14"/>
        <v>64430.986934558758</v>
      </c>
      <c r="C21" s="193">
        <f>$S21/(1+($C$1-$O21+$P21)/36500)^$N21</f>
        <v>69124.31424725856</v>
      </c>
      <c r="D21" s="193">
        <f t="shared" si="5"/>
        <v>69734.562014883864</v>
      </c>
      <c r="E21" s="193">
        <f t="shared" si="6"/>
        <v>70350.205677320628</v>
      </c>
      <c r="F21" s="193">
        <f t="shared" si="7"/>
        <v>70971.293020685698</v>
      </c>
      <c r="G21" s="193">
        <f t="shared" si="8"/>
        <v>71597.872254923655</v>
      </c>
      <c r="H21" s="193">
        <f t="shared" si="9"/>
        <v>72229.992017631273</v>
      </c>
      <c r="I21" s="193">
        <f t="shared" si="10"/>
        <v>72867.701377803562</v>
      </c>
      <c r="J21" s="193">
        <f t="shared" si="11"/>
        <v>73511.049839699728</v>
      </c>
      <c r="K21" s="193">
        <f t="shared" si="12"/>
        <v>74160.087346718603</v>
      </c>
      <c r="L21" s="193">
        <f t="shared" si="1"/>
        <v>70350.205677320628</v>
      </c>
      <c r="M21" s="192" t="s">
        <v>4263</v>
      </c>
      <c r="N21" s="192">
        <f>846-$AD$19</f>
        <v>642</v>
      </c>
      <c r="O21" s="192">
        <v>0</v>
      </c>
      <c r="P21" s="192">
        <v>0</v>
      </c>
      <c r="Q21" s="192">
        <v>0</v>
      </c>
      <c r="R21" s="192">
        <f t="shared" si="2"/>
        <v>21.049180327868854</v>
      </c>
      <c r="S21" s="193">
        <v>100000</v>
      </c>
      <c r="T21" s="193"/>
      <c r="U21" s="193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87" t="s">
        <v>4256</v>
      </c>
      <c r="B22" s="88">
        <f t="shared" si="14"/>
        <v>82328.407996528738</v>
      </c>
      <c r="C22" s="88">
        <f t="shared" ref="C22:C36" si="16">$S22/(1+($C$1-$O22+$P22)/36500)^$N22</f>
        <v>84929.365115976572</v>
      </c>
      <c r="D22" s="88">
        <f t="shared" si="5"/>
        <v>85260.230337920177</v>
      </c>
      <c r="E22" s="88">
        <f t="shared" si="6"/>
        <v>85592.389090848985</v>
      </c>
      <c r="F22" s="88">
        <f t="shared" si="7"/>
        <v>85925.84644969611</v>
      </c>
      <c r="G22" s="88">
        <f t="shared" si="8"/>
        <v>86260.607509359295</v>
      </c>
      <c r="H22" s="88">
        <f t="shared" si="9"/>
        <v>86596.67738481157</v>
      </c>
      <c r="I22" s="88">
        <f t="shared" si="10"/>
        <v>86934.061211151842</v>
      </c>
      <c r="J22" s="88">
        <f t="shared" si="11"/>
        <v>87272.764143702661</v>
      </c>
      <c r="K22" s="88">
        <f t="shared" si="12"/>
        <v>87612.791358094211</v>
      </c>
      <c r="L22" s="88">
        <f t="shared" si="1"/>
        <v>85592.389090848985</v>
      </c>
      <c r="M22" s="87" t="s">
        <v>4264</v>
      </c>
      <c r="N22" s="87">
        <f>488-$AD$19</f>
        <v>284</v>
      </c>
      <c r="O22" s="87">
        <v>0</v>
      </c>
      <c r="P22" s="87">
        <v>0</v>
      </c>
      <c r="Q22" s="87">
        <v>0</v>
      </c>
      <c r="R22" s="87">
        <f t="shared" si="2"/>
        <v>9.3114754098360653</v>
      </c>
      <c r="S22" s="88">
        <v>100000</v>
      </c>
      <c r="T22" s="88"/>
      <c r="U22" s="88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148" t="s">
        <v>4257</v>
      </c>
      <c r="B23" s="86">
        <f t="shared" si="14"/>
        <v>80599.3524827972</v>
      </c>
      <c r="C23" s="86">
        <f t="shared" si="16"/>
        <v>83428.453877742548</v>
      </c>
      <c r="D23" s="86">
        <f t="shared" si="5"/>
        <v>83789.025774910406</v>
      </c>
      <c r="E23" s="86">
        <f t="shared" si="6"/>
        <v>84151.161007035116</v>
      </c>
      <c r="F23" s="86">
        <f t="shared" si="7"/>
        <v>84514.86637383404</v>
      </c>
      <c r="G23" s="86">
        <f t="shared" si="8"/>
        <v>84880.148704676365</v>
      </c>
      <c r="H23" s="86">
        <f t="shared" si="9"/>
        <v>85247.014858747309</v>
      </c>
      <c r="I23" s="86">
        <f t="shared" si="10"/>
        <v>85615.471725147727</v>
      </c>
      <c r="J23" s="86">
        <f t="shared" si="11"/>
        <v>85985.526223044595</v>
      </c>
      <c r="K23" s="86">
        <f t="shared" si="12"/>
        <v>86357.185301807083</v>
      </c>
      <c r="L23" s="86">
        <f t="shared" si="1"/>
        <v>84151.161007035116</v>
      </c>
      <c r="M23" s="148" t="s">
        <v>4265</v>
      </c>
      <c r="N23" s="148">
        <f>519-$AD$19</f>
        <v>315</v>
      </c>
      <c r="O23" s="148">
        <v>0</v>
      </c>
      <c r="P23" s="148">
        <v>0</v>
      </c>
      <c r="Q23" s="148">
        <v>0</v>
      </c>
      <c r="R23" s="148">
        <f t="shared" si="2"/>
        <v>10.327868852459016</v>
      </c>
      <c r="S23" s="86">
        <v>100000</v>
      </c>
      <c r="T23" s="86"/>
      <c r="U23" s="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92" t="s">
        <v>1005</v>
      </c>
      <c r="B24" s="193">
        <f t="shared" si="14"/>
        <v>75646.677517298871</v>
      </c>
      <c r="C24" s="193">
        <f t="shared" si="16"/>
        <v>86210.314199193352</v>
      </c>
      <c r="D24" s="193">
        <f t="shared" si="5"/>
        <v>87630.610336907761</v>
      </c>
      <c r="E24" s="193">
        <f t="shared" si="6"/>
        <v>89074.325480574727</v>
      </c>
      <c r="F24" s="193">
        <f t="shared" si="7"/>
        <v>90541.84611063193</v>
      </c>
      <c r="G24" s="193">
        <f t="shared" si="8"/>
        <v>92033.565091052893</v>
      </c>
      <c r="H24" s="193">
        <f t="shared" si="9"/>
        <v>93549.881774805996</v>
      </c>
      <c r="I24" s="193">
        <f t="shared" si="10"/>
        <v>95091.202110986706</v>
      </c>
      <c r="J24" s="193">
        <f t="shared" si="11"/>
        <v>96657.93875415888</v>
      </c>
      <c r="K24" s="193">
        <f t="shared" si="12"/>
        <v>98250.511174893749</v>
      </c>
      <c r="L24" s="193">
        <f t="shared" si="1"/>
        <v>89074.325480574727</v>
      </c>
      <c r="M24" s="192" t="s">
        <v>1006</v>
      </c>
      <c r="N24" s="192">
        <f>1397-$AD$19</f>
        <v>1193</v>
      </c>
      <c r="O24" s="192">
        <v>17</v>
      </c>
      <c r="P24" s="192">
        <f>$AI$2</f>
        <v>0.54</v>
      </c>
      <c r="Q24" s="192">
        <v>6</v>
      </c>
      <c r="R24" s="192">
        <f t="shared" si="2"/>
        <v>39.114754098360656</v>
      </c>
      <c r="S24" s="193">
        <v>100000</v>
      </c>
      <c r="T24" s="193">
        <v>96000</v>
      </c>
      <c r="U24" s="193">
        <f t="shared" si="3"/>
        <v>171214.4901368281</v>
      </c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87" t="s">
        <v>962</v>
      </c>
      <c r="B25" s="88">
        <f t="shared" si="14"/>
        <v>95644.809910559488</v>
      </c>
      <c r="C25" s="88">
        <f t="shared" si="16"/>
        <v>99493.346219973828</v>
      </c>
      <c r="D25" s="88">
        <f t="shared" si="5"/>
        <v>99985.20657682867</v>
      </c>
      <c r="E25" s="88">
        <f t="shared" si="6"/>
        <v>100479.50530738286</v>
      </c>
      <c r="F25" s="88">
        <f t="shared" si="7"/>
        <v>100976.2545334129</v>
      </c>
      <c r="G25" s="88">
        <f t="shared" si="8"/>
        <v>101475.46643711334</v>
      </c>
      <c r="H25" s="88">
        <f t="shared" si="9"/>
        <v>101977.15326141668</v>
      </c>
      <c r="I25" s="88">
        <f t="shared" si="10"/>
        <v>102481.32731027344</v>
      </c>
      <c r="J25" s="88">
        <f t="shared" si="11"/>
        <v>102988.00094899187</v>
      </c>
      <c r="K25" s="88">
        <f t="shared" si="12"/>
        <v>103497.18660451566</v>
      </c>
      <c r="L25" s="88">
        <f t="shared" si="1"/>
        <v>100479.50530738286</v>
      </c>
      <c r="M25" s="87" t="s">
        <v>977</v>
      </c>
      <c r="N25" s="87">
        <f>564-$AD$19</f>
        <v>360</v>
      </c>
      <c r="O25" s="87">
        <v>21</v>
      </c>
      <c r="P25" s="87">
        <f t="shared" ref="P25:P30" si="17">$AI$1</f>
        <v>0.51500000000000001</v>
      </c>
      <c r="Q25" s="87">
        <v>3</v>
      </c>
      <c r="R25" s="87">
        <f t="shared" si="2"/>
        <v>11.803278688524591</v>
      </c>
      <c r="S25" s="88">
        <v>100000</v>
      </c>
      <c r="T25" s="88">
        <v>100000</v>
      </c>
      <c r="U25" s="88">
        <f t="shared" si="3"/>
        <v>122380.17286367687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12" t="s">
        <v>963</v>
      </c>
      <c r="B26" s="57">
        <f t="shared" si="14"/>
        <v>90640.830056816907</v>
      </c>
      <c r="C26" s="57">
        <f t="shared" si="16"/>
        <v>94463.29424138015</v>
      </c>
      <c r="D26" s="57">
        <f t="shared" si="5"/>
        <v>94952.330081164953</v>
      </c>
      <c r="E26" s="57">
        <f t="shared" si="6"/>
        <v>95443.904406538742</v>
      </c>
      <c r="F26" s="57">
        <f t="shared" si="7"/>
        <v>95938.030429285456</v>
      </c>
      <c r="G26" s="57">
        <f t="shared" si="8"/>
        <v>96434.721430168385</v>
      </c>
      <c r="H26" s="57">
        <f t="shared" si="9"/>
        <v>96933.990759227163</v>
      </c>
      <c r="I26" s="57">
        <f t="shared" si="10"/>
        <v>97435.85183618775</v>
      </c>
      <c r="J26" s="57">
        <f t="shared" si="11"/>
        <v>97940.318150811814</v>
      </c>
      <c r="K26" s="57">
        <f t="shared" si="12"/>
        <v>98447.403263239466</v>
      </c>
      <c r="L26" s="57">
        <f t="shared" si="1"/>
        <v>95443.904406538742</v>
      </c>
      <c r="M26" s="12" t="s">
        <v>978</v>
      </c>
      <c r="N26" s="12">
        <f>581-$AD$19</f>
        <v>377</v>
      </c>
      <c r="O26" s="12">
        <v>16</v>
      </c>
      <c r="P26" s="12">
        <f t="shared" si="17"/>
        <v>0.51500000000000001</v>
      </c>
      <c r="Q26" s="12">
        <v>3</v>
      </c>
      <c r="R26" s="12">
        <f t="shared" si="2"/>
        <v>12.360655737704919</v>
      </c>
      <c r="S26" s="57">
        <v>100000</v>
      </c>
      <c r="T26" s="57">
        <v>92000</v>
      </c>
      <c r="U26" s="57">
        <f t="shared" si="3"/>
        <v>117335.28984723362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48" t="s">
        <v>956</v>
      </c>
      <c r="B27" s="86">
        <f t="shared" si="14"/>
        <v>94831.98582100877</v>
      </c>
      <c r="C27" s="86">
        <f t="shared" si="16"/>
        <v>99396.531132660617</v>
      </c>
      <c r="D27" s="86">
        <f t="shared" si="5"/>
        <v>99982.371420655254</v>
      </c>
      <c r="E27" s="86">
        <f t="shared" si="6"/>
        <v>100571.67273071205</v>
      </c>
      <c r="F27" s="86">
        <f t="shared" si="7"/>
        <v>101164.4555576667</v>
      </c>
      <c r="G27" s="86">
        <f t="shared" si="8"/>
        <v>101760.74051798927</v>
      </c>
      <c r="H27" s="86">
        <f t="shared" si="9"/>
        <v>102360.54835052887</v>
      </c>
      <c r="I27" s="86">
        <f t="shared" si="10"/>
        <v>102963.89991721381</v>
      </c>
      <c r="J27" s="86">
        <f t="shared" si="11"/>
        <v>103570.8162038251</v>
      </c>
      <c r="K27" s="86">
        <f t="shared" si="12"/>
        <v>104181.3183206988</v>
      </c>
      <c r="L27" s="86">
        <f t="shared" si="1"/>
        <v>100571.67273071205</v>
      </c>
      <c r="M27" s="148" t="s">
        <v>979</v>
      </c>
      <c r="N27" s="148">
        <f>633-$AD$19</f>
        <v>429</v>
      </c>
      <c r="O27" s="148">
        <v>21</v>
      </c>
      <c r="P27" s="148">
        <f t="shared" si="17"/>
        <v>0.51500000000000001</v>
      </c>
      <c r="Q27" s="148">
        <v>3</v>
      </c>
      <c r="R27" s="148">
        <f t="shared" si="2"/>
        <v>14.065573770491802</v>
      </c>
      <c r="S27" s="86">
        <v>100000</v>
      </c>
      <c r="T27" s="86">
        <v>100000</v>
      </c>
      <c r="U27" s="86">
        <f t="shared" si="3"/>
        <v>127210.32121692093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91" t="s">
        <v>949</v>
      </c>
      <c r="B28" s="90">
        <f t="shared" si="14"/>
        <v>94037.700299703822</v>
      </c>
      <c r="C28" s="94">
        <f t="shared" si="16"/>
        <v>99301.211333786283</v>
      </c>
      <c r="D28" s="90">
        <f t="shared" si="5"/>
        <v>99979.57743235548</v>
      </c>
      <c r="E28" s="90">
        <f t="shared" si="6"/>
        <v>100662.5871078561</v>
      </c>
      <c r="F28" s="90">
        <f t="shared" si="7"/>
        <v>101350.27221094871</v>
      </c>
      <c r="G28" s="90">
        <f t="shared" si="8"/>
        <v>102042.66481118767</v>
      </c>
      <c r="H28" s="90">
        <f t="shared" si="9"/>
        <v>102739.7971985531</v>
      </c>
      <c r="I28" s="90">
        <f t="shared" si="10"/>
        <v>103441.70188493625</v>
      </c>
      <c r="J28" s="90">
        <f t="shared" si="11"/>
        <v>104148.41160571609</v>
      </c>
      <c r="K28" s="90">
        <f t="shared" si="12"/>
        <v>104859.95932125801</v>
      </c>
      <c r="L28" s="92">
        <f t="shared" si="1"/>
        <v>100662.5871078561</v>
      </c>
      <c r="M28" s="91" t="s">
        <v>980</v>
      </c>
      <c r="N28" s="91">
        <f>701-$AD$19</f>
        <v>497</v>
      </c>
      <c r="O28" s="91">
        <v>21</v>
      </c>
      <c r="P28" s="91">
        <f t="shared" si="17"/>
        <v>0.51500000000000001</v>
      </c>
      <c r="Q28" s="91">
        <v>3</v>
      </c>
      <c r="R28" s="91">
        <f t="shared" si="2"/>
        <v>16.295081967213115</v>
      </c>
      <c r="S28" s="92">
        <v>100000</v>
      </c>
      <c r="T28" s="92">
        <v>100000</v>
      </c>
      <c r="U28" s="92">
        <f t="shared" si="3"/>
        <v>132156.94609830249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3" t="s">
        <v>964</v>
      </c>
      <c r="B29" s="90">
        <f t="shared" si="14"/>
        <v>89773.938454146715</v>
      </c>
      <c r="C29" s="94">
        <f t="shared" si="16"/>
        <v>95079.244621670252</v>
      </c>
      <c r="D29" s="90">
        <f t="shared" si="5"/>
        <v>95764.125114136856</v>
      </c>
      <c r="E29" s="90">
        <f t="shared" si="6"/>
        <v>96453.948461401989</v>
      </c>
      <c r="F29" s="90">
        <f t="shared" si="7"/>
        <v>97148.750405021885</v>
      </c>
      <c r="G29" s="90">
        <f t="shared" si="8"/>
        <v>97848.566945465602</v>
      </c>
      <c r="H29" s="90">
        <f t="shared" si="9"/>
        <v>98553.434344052526</v>
      </c>
      <c r="I29" s="90">
        <f t="shared" si="10"/>
        <v>99263.389124778056</v>
      </c>
      <c r="J29" s="90">
        <f t="shared" si="11"/>
        <v>99978.468076303732</v>
      </c>
      <c r="K29" s="90">
        <f t="shared" si="12"/>
        <v>100698.70825379138</v>
      </c>
      <c r="L29" s="94">
        <f t="shared" si="1"/>
        <v>96453.948461401989</v>
      </c>
      <c r="M29" s="93" t="s">
        <v>1004</v>
      </c>
      <c r="N29" s="93">
        <f>728-$AD$19</f>
        <v>524</v>
      </c>
      <c r="O29" s="93">
        <v>18</v>
      </c>
      <c r="P29" s="93">
        <f t="shared" si="17"/>
        <v>0.51500000000000001</v>
      </c>
      <c r="Q29" s="93">
        <v>3</v>
      </c>
      <c r="R29" s="93">
        <f t="shared" si="2"/>
        <v>17.180327868852459</v>
      </c>
      <c r="S29" s="94">
        <v>100000</v>
      </c>
      <c r="T29" s="94">
        <v>95000</v>
      </c>
      <c r="U29" s="94">
        <f t="shared" si="3"/>
        <v>128518.89917920699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148" t="s">
        <v>965</v>
      </c>
      <c r="B30" s="86">
        <f t="shared" si="14"/>
        <v>88539.270503107982</v>
      </c>
      <c r="C30" s="86">
        <f t="shared" si="16"/>
        <v>93187.513316665747</v>
      </c>
      <c r="D30" s="86">
        <f t="shared" si="5"/>
        <v>93785.48248180552</v>
      </c>
      <c r="E30" s="86">
        <f t="shared" si="6"/>
        <v>94387.296987380643</v>
      </c>
      <c r="F30" s="86">
        <f t="shared" si="7"/>
        <v>94992.98161464883</v>
      </c>
      <c r="G30" s="86">
        <f t="shared" si="8"/>
        <v>95602.561304956136</v>
      </c>
      <c r="H30" s="86">
        <f t="shared" si="9"/>
        <v>96216.061160694371</v>
      </c>
      <c r="I30" s="86">
        <f t="shared" si="10"/>
        <v>96833.506446402418</v>
      </c>
      <c r="J30" s="86">
        <f t="shared" si="11"/>
        <v>97454.922589795955</v>
      </c>
      <c r="K30" s="86">
        <f t="shared" si="12"/>
        <v>98080.335182795345</v>
      </c>
      <c r="L30" s="86">
        <f t="shared" si="1"/>
        <v>94387.296987380643</v>
      </c>
      <c r="M30" s="148" t="s">
        <v>981</v>
      </c>
      <c r="N30" s="148">
        <f>671-$AD$19</f>
        <v>467</v>
      </c>
      <c r="O30" s="148">
        <v>16</v>
      </c>
      <c r="P30" s="148">
        <f t="shared" si="17"/>
        <v>0.51500000000000001</v>
      </c>
      <c r="Q30" s="148">
        <v>3</v>
      </c>
      <c r="R30" s="148">
        <f t="shared" si="2"/>
        <v>15.311475409836065</v>
      </c>
      <c r="S30" s="86">
        <v>100000</v>
      </c>
      <c r="T30" s="86">
        <v>90600</v>
      </c>
      <c r="U30" s="86">
        <f t="shared" si="3"/>
        <v>121899.83825931439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91" t="s">
        <v>966</v>
      </c>
      <c r="B31" s="90">
        <f t="shared" si="14"/>
        <v>79812.139651343881</v>
      </c>
      <c r="C31" s="94">
        <f t="shared" si="16"/>
        <v>86942.296433658921</v>
      </c>
      <c r="D31" s="90">
        <f t="shared" si="5"/>
        <v>87877.291446059011</v>
      </c>
      <c r="E31" s="90">
        <f t="shared" si="6"/>
        <v>88822.354596811143</v>
      </c>
      <c r="F31" s="90">
        <f t="shared" si="7"/>
        <v>89777.594440973669</v>
      </c>
      <c r="G31" s="90">
        <f t="shared" si="8"/>
        <v>90743.120705580019</v>
      </c>
      <c r="H31" s="90">
        <f t="shared" si="9"/>
        <v>91719.04430222261</v>
      </c>
      <c r="I31" s="90">
        <f t="shared" si="10"/>
        <v>92705.477339998048</v>
      </c>
      <c r="J31" s="90">
        <f t="shared" si="11"/>
        <v>93702.533138307757</v>
      </c>
      <c r="K31" s="90">
        <f t="shared" si="12"/>
        <v>94710.3262400659</v>
      </c>
      <c r="L31" s="92">
        <f t="shared" si="1"/>
        <v>88822.354596811143</v>
      </c>
      <c r="M31" s="91" t="s">
        <v>982</v>
      </c>
      <c r="N31" s="91">
        <f>985-$AD$19</f>
        <v>781</v>
      </c>
      <c r="O31" s="91">
        <v>15</v>
      </c>
      <c r="P31" s="91">
        <f>$AI$2</f>
        <v>0.54</v>
      </c>
      <c r="Q31" s="91">
        <v>6</v>
      </c>
      <c r="R31" s="91">
        <f t="shared" si="2"/>
        <v>25.606557377049182</v>
      </c>
      <c r="S31" s="92">
        <v>100000</v>
      </c>
      <c r="T31" s="92">
        <v>85800</v>
      </c>
      <c r="U31" s="92">
        <f t="shared" si="3"/>
        <v>136240.81433941927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3" t="s">
        <v>940</v>
      </c>
      <c r="B32" s="90">
        <f t="shared" si="14"/>
        <v>89684.984242764069</v>
      </c>
      <c r="C32" s="94">
        <f t="shared" si="16"/>
        <v>91260.407417610913</v>
      </c>
      <c r="D32" s="90">
        <f t="shared" si="5"/>
        <v>91459.28353180096</v>
      </c>
      <c r="E32" s="90">
        <f t="shared" si="6"/>
        <v>91658.595771667053</v>
      </c>
      <c r="F32" s="90">
        <f t="shared" si="7"/>
        <v>91858.34509960674</v>
      </c>
      <c r="G32" s="90">
        <f t="shared" si="8"/>
        <v>92058.532480145164</v>
      </c>
      <c r="H32" s="90">
        <f t="shared" si="9"/>
        <v>92259.158879958704</v>
      </c>
      <c r="I32" s="90">
        <f t="shared" si="10"/>
        <v>92460.225267862581</v>
      </c>
      <c r="J32" s="90">
        <f t="shared" si="11"/>
        <v>92661.732614826557</v>
      </c>
      <c r="K32" s="90">
        <f t="shared" si="12"/>
        <v>92863.68189398211</v>
      </c>
      <c r="L32" s="94">
        <f t="shared" si="1"/>
        <v>91658.595771667053</v>
      </c>
      <c r="M32" s="93" t="s">
        <v>983</v>
      </c>
      <c r="N32" s="93">
        <f>363-$AD$19</f>
        <v>159</v>
      </c>
      <c r="O32" s="93">
        <v>0</v>
      </c>
      <c r="P32" s="93">
        <v>0</v>
      </c>
      <c r="Q32" s="93">
        <v>0</v>
      </c>
      <c r="R32" s="93">
        <f t="shared" si="2"/>
        <v>5.2131147540983607</v>
      </c>
      <c r="S32" s="94">
        <v>100000</v>
      </c>
      <c r="T32" s="94">
        <v>82800</v>
      </c>
      <c r="U32" s="94">
        <f>B32*(1+$AC$2/36500)^N32</f>
        <v>100000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89" t="s">
        <v>971</v>
      </c>
      <c r="B33" s="90">
        <f>$S33/(1+($B$1-$O33+$P33)/36500)^$N33</f>
        <v>85062.315169035137</v>
      </c>
      <c r="C33" s="94">
        <f t="shared" si="16"/>
        <v>95602.091403443657</v>
      </c>
      <c r="D33" s="90">
        <f t="shared" si="5"/>
        <v>97008.336690281256</v>
      </c>
      <c r="E33" s="90">
        <f t="shared" si="6"/>
        <v>98435.286630603558</v>
      </c>
      <c r="F33" s="90">
        <f t="shared" si="7"/>
        <v>99883.246356372911</v>
      </c>
      <c r="G33" s="90">
        <f t="shared" si="8"/>
        <v>101352.52550062613</v>
      </c>
      <c r="H33" s="90">
        <f t="shared" si="9"/>
        <v>102843.43826400445</v>
      </c>
      <c r="I33" s="90">
        <f t="shared" si="10"/>
        <v>104356.30348214829</v>
      </c>
      <c r="J33" s="90">
        <f t="shared" si="11"/>
        <v>105891.44469413813</v>
      </c>
      <c r="K33" s="90">
        <f t="shared" si="12"/>
        <v>107449.19021199734</v>
      </c>
      <c r="L33" s="90">
        <f t="shared" si="1"/>
        <v>98435.286630603558</v>
      </c>
      <c r="M33" s="89" t="s">
        <v>974</v>
      </c>
      <c r="N33" s="89">
        <f>1270-$AD$19</f>
        <v>1066</v>
      </c>
      <c r="O33" s="89">
        <v>20</v>
      </c>
      <c r="P33" s="89">
        <f>$AI$2</f>
        <v>0.54</v>
      </c>
      <c r="Q33" s="89">
        <v>6</v>
      </c>
      <c r="R33" s="89">
        <f t="shared" si="2"/>
        <v>34.950819672131146</v>
      </c>
      <c r="S33" s="90">
        <v>100000</v>
      </c>
      <c r="T33" s="90">
        <v>100000</v>
      </c>
      <c r="U33" s="90">
        <f t="shared" si="3"/>
        <v>176491.22546026466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148" t="s">
        <v>975</v>
      </c>
      <c r="B34" s="86">
        <f t="shared" si="14"/>
        <v>98565.931147223513</v>
      </c>
      <c r="C34" s="86">
        <f t="shared" si="16"/>
        <v>100199.51515988023</v>
      </c>
      <c r="D34" s="86">
        <f t="shared" si="5"/>
        <v>100405.62040437853</v>
      </c>
      <c r="E34" s="86">
        <f t="shared" si="6"/>
        <v>100612.15242892469</v>
      </c>
      <c r="F34" s="86">
        <f t="shared" si="7"/>
        <v>100819.11212311467</v>
      </c>
      <c r="G34" s="86">
        <f t="shared" si="8"/>
        <v>101026.50037840458</v>
      </c>
      <c r="H34" s="86">
        <f t="shared" si="9"/>
        <v>101234.31808812903</v>
      </c>
      <c r="I34" s="86">
        <f t="shared" si="10"/>
        <v>101442.56614749291</v>
      </c>
      <c r="J34" s="86">
        <f t="shared" si="11"/>
        <v>101651.24545357921</v>
      </c>
      <c r="K34" s="86">
        <f t="shared" si="12"/>
        <v>101860.35690535422</v>
      </c>
      <c r="L34" s="86">
        <f t="shared" si="1"/>
        <v>100612.15242892469</v>
      </c>
      <c r="M34" s="148" t="s">
        <v>976</v>
      </c>
      <c r="N34" s="148">
        <f>354-$AD$19</f>
        <v>150</v>
      </c>
      <c r="O34" s="148">
        <v>22</v>
      </c>
      <c r="P34" s="148">
        <f>AI1</f>
        <v>0.51500000000000001</v>
      </c>
      <c r="Q34" s="148">
        <v>3</v>
      </c>
      <c r="R34" s="148">
        <f t="shared" si="2"/>
        <v>4.918032786885246</v>
      </c>
      <c r="S34" s="86">
        <v>100000</v>
      </c>
      <c r="T34" s="86">
        <v>103000</v>
      </c>
      <c r="U34" s="86">
        <f t="shared" si="3"/>
        <v>109227.21274840811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92" t="s">
        <v>997</v>
      </c>
      <c r="B35" s="193">
        <f t="shared" si="14"/>
        <v>93934.550835705813</v>
      </c>
      <c r="C35" s="193">
        <f t="shared" si="16"/>
        <v>100000</v>
      </c>
      <c r="D35" s="193">
        <f t="shared" si="5"/>
        <v>100785.26429201421</v>
      </c>
      <c r="E35" s="193">
        <f t="shared" si="6"/>
        <v>101576.7058683051</v>
      </c>
      <c r="F35" s="193">
        <f t="shared" si="7"/>
        <v>102374.37340813395</v>
      </c>
      <c r="G35" s="193">
        <f t="shared" si="8"/>
        <v>103178.31597501568</v>
      </c>
      <c r="H35" s="193">
        <f t="shared" si="9"/>
        <v>103988.58301983554</v>
      </c>
      <c r="I35" s="193">
        <f t="shared" si="10"/>
        <v>104805.22438382814</v>
      </c>
      <c r="J35" s="193">
        <f t="shared" si="11"/>
        <v>105628.29030171983</v>
      </c>
      <c r="K35" s="193">
        <f t="shared" si="12"/>
        <v>106457.83140480977</v>
      </c>
      <c r="L35" s="193">
        <f t="shared" si="1"/>
        <v>101576.7058683051</v>
      </c>
      <c r="M35" s="192" t="s">
        <v>998</v>
      </c>
      <c r="N35" s="192">
        <f>775-$AD$19</f>
        <v>571</v>
      </c>
      <c r="O35" s="192">
        <v>21</v>
      </c>
      <c r="P35" s="192">
        <v>0</v>
      </c>
      <c r="Q35" s="192">
        <v>1</v>
      </c>
      <c r="R35" s="192">
        <f t="shared" si="2"/>
        <v>18.721311475409838</v>
      </c>
      <c r="S35" s="193">
        <v>100000</v>
      </c>
      <c r="T35" s="193">
        <v>104000</v>
      </c>
      <c r="U35" s="193">
        <f t="shared" si="3"/>
        <v>138873.06113622524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87" t="s">
        <v>1046</v>
      </c>
      <c r="B36" s="88">
        <f t="shared" si="14"/>
        <v>76823.755264865962</v>
      </c>
      <c r="C36" s="88">
        <f t="shared" si="16"/>
        <v>86920.910401831803</v>
      </c>
      <c r="D36" s="88">
        <f t="shared" si="5"/>
        <v>88273.078219553849</v>
      </c>
      <c r="E36" s="88">
        <f t="shared" si="6"/>
        <v>89646.299721032963</v>
      </c>
      <c r="F36" s="88">
        <f t="shared" si="7"/>
        <v>91040.903013920208</v>
      </c>
      <c r="G36" s="88">
        <f t="shared" si="8"/>
        <v>92457.221323882288</v>
      </c>
      <c r="H36" s="88">
        <f t="shared" si="9"/>
        <v>93895.593074441815</v>
      </c>
      <c r="I36" s="88">
        <f t="shared" si="10"/>
        <v>95356.361967998411</v>
      </c>
      <c r="J36" s="88">
        <f t="shared" si="11"/>
        <v>96839.877068529357</v>
      </c>
      <c r="K36" s="88">
        <f t="shared" si="12"/>
        <v>98346.492885003405</v>
      </c>
      <c r="L36" s="88">
        <f t="shared" si="1"/>
        <v>89646.299721032963</v>
      </c>
      <c r="M36" s="87" t="s">
        <v>1047</v>
      </c>
      <c r="N36" s="87">
        <f>1331-$AD$19</f>
        <v>1127</v>
      </c>
      <c r="O36" s="87">
        <v>17</v>
      </c>
      <c r="P36" s="87">
        <f>AI2</f>
        <v>0.54</v>
      </c>
      <c r="Q36" s="87">
        <v>6</v>
      </c>
      <c r="R36" s="87">
        <f t="shared" si="2"/>
        <v>36.950819672131146</v>
      </c>
      <c r="S36" s="88">
        <v>100000</v>
      </c>
      <c r="T36" s="88"/>
      <c r="U36" s="88">
        <f t="shared" si="3"/>
        <v>166195.9442215357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85"/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171" t="s">
        <v>4041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 t="s">
        <v>25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 t="s">
        <v>25</v>
      </c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 t="s">
        <v>25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D48" t="s">
        <v>1107</v>
      </c>
      <c r="E48">
        <v>7.2499999999999995E-2</v>
      </c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1108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1109</v>
      </c>
      <c r="E50">
        <v>0.125</v>
      </c>
      <c r="AD50" s="25"/>
      <c r="AE50" s="26"/>
    </row>
    <row r="51" spans="1:31" x14ac:dyDescent="0.25">
      <c r="D51" t="s">
        <v>3788</v>
      </c>
      <c r="E51">
        <v>0.49</v>
      </c>
      <c r="AD51" s="25"/>
      <c r="AE51" s="26"/>
    </row>
    <row r="52" spans="1:31" x14ac:dyDescent="0.25">
      <c r="D52" t="s">
        <v>3789</v>
      </c>
      <c r="E52">
        <v>1.03</v>
      </c>
      <c r="H52">
        <v>120377</v>
      </c>
      <c r="I52" s="90">
        <v>72.585300000000004</v>
      </c>
      <c r="J52" s="90">
        <f>H52*I52</f>
        <v>8737600.6580999997</v>
      </c>
      <c r="AD52" s="25"/>
      <c r="AE52" s="26"/>
    </row>
    <row r="53" spans="1:31" x14ac:dyDescent="0.25">
      <c r="H53">
        <v>25183</v>
      </c>
      <c r="I53" s="90">
        <v>71.859800000000007</v>
      </c>
      <c r="J53" s="90">
        <f>H53*I53</f>
        <v>1809645.3434000001</v>
      </c>
      <c r="AD53" s="25"/>
      <c r="AE53" s="26"/>
    </row>
    <row r="54" spans="1:31" x14ac:dyDescent="0.25">
      <c r="AD54" s="25"/>
      <c r="AE54" s="26"/>
    </row>
    <row r="55" spans="1:31" x14ac:dyDescent="0.25">
      <c r="H55">
        <v>145560</v>
      </c>
      <c r="I55">
        <v>72.252300000000005</v>
      </c>
      <c r="J55">
        <f>H55*I55</f>
        <v>10517044.788000001</v>
      </c>
      <c r="L55" s="114">
        <f>J52+J53-J55</f>
        <v>30201.213499998674</v>
      </c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61">
        <v>605</v>
      </c>
      <c r="B61" t="s">
        <v>4248</v>
      </c>
      <c r="AD61" s="25"/>
      <c r="AE61" s="26"/>
    </row>
    <row r="62" spans="1:31" x14ac:dyDescent="0.25">
      <c r="A62">
        <v>611</v>
      </c>
      <c r="B62" t="s">
        <v>4240</v>
      </c>
      <c r="AD62" s="25"/>
      <c r="AE62" s="26"/>
    </row>
    <row r="63" spans="1:31" x14ac:dyDescent="0.25">
      <c r="AD63" s="25"/>
      <c r="AE63" s="26"/>
    </row>
    <row r="64" spans="1:31" x14ac:dyDescent="0.25">
      <c r="A64">
        <v>701</v>
      </c>
      <c r="B64" t="s">
        <v>4241</v>
      </c>
      <c r="AD64" s="25"/>
      <c r="AE64" s="26"/>
    </row>
    <row r="65" spans="1:31" x14ac:dyDescent="0.25">
      <c r="A65">
        <v>702</v>
      </c>
      <c r="B65" t="s">
        <v>4242</v>
      </c>
      <c r="AD65" s="25"/>
      <c r="AE65" s="26"/>
    </row>
    <row r="66" spans="1:31" x14ac:dyDescent="0.25">
      <c r="A66">
        <v>704</v>
      </c>
      <c r="B66" t="s">
        <v>4243</v>
      </c>
      <c r="AD66" s="25"/>
      <c r="AE66" s="26"/>
    </row>
    <row r="67" spans="1:31" x14ac:dyDescent="0.25">
      <c r="A67">
        <v>705</v>
      </c>
      <c r="B67" t="s">
        <v>4244</v>
      </c>
      <c r="AD67" s="25"/>
      <c r="AE67" s="26"/>
    </row>
    <row r="68" spans="1:31" x14ac:dyDescent="0.25">
      <c r="A68">
        <v>706</v>
      </c>
      <c r="B68" t="s">
        <v>4245</v>
      </c>
      <c r="AD68" s="25"/>
      <c r="AE68" s="26"/>
    </row>
    <row r="69" spans="1:31" x14ac:dyDescent="0.25">
      <c r="A69" s="25">
        <v>711</v>
      </c>
      <c r="B69" s="25" t="s">
        <v>4246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6"/>
      <c r="S69" s="26"/>
      <c r="T69" s="26"/>
      <c r="AD69" s="25"/>
      <c r="AE69" s="26"/>
    </row>
    <row r="70" spans="1:31" x14ac:dyDescent="0.25">
      <c r="A70" s="122">
        <v>712</v>
      </c>
      <c r="B70" s="122" t="s">
        <v>4247</v>
      </c>
      <c r="AD70" s="25"/>
      <c r="AE70" s="26"/>
    </row>
    <row r="71" spans="1:31" x14ac:dyDescent="0.25">
      <c r="AD71" s="25"/>
      <c r="AE71" s="26"/>
    </row>
    <row r="72" spans="1:31" x14ac:dyDescent="0.25">
      <c r="S72" t="s">
        <v>25</v>
      </c>
      <c r="AD72" s="25"/>
      <c r="AE72" s="26"/>
    </row>
    <row r="73" spans="1:31" x14ac:dyDescent="0.25">
      <c r="T73" t="s">
        <v>25</v>
      </c>
      <c r="AD73" s="25"/>
      <c r="AE73" s="26"/>
    </row>
    <row r="74" spans="1:31" x14ac:dyDescent="0.25"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8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7" sqref="B7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1225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14200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4289</v>
      </c>
      <c r="B8" s="95">
        <f>B2*B4*B5*B6/(B1*B3)+B7</f>
        <v>4099089.437299035</v>
      </c>
      <c r="C8" s="99">
        <f>B2*B4*B5/(B1*B3)+B7/B6</f>
        <v>288.66827023232639</v>
      </c>
      <c r="D8" s="99" t="s">
        <v>4292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4290</v>
      </c>
      <c r="B9" s="95">
        <v>4300000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4291</v>
      </c>
      <c r="B10" s="95">
        <f>B9-B8</f>
        <v>200910.56270096498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4181</v>
      </c>
      <c r="J11" s="69" t="s">
        <v>4180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5" t="s">
        <v>1091</v>
      </c>
      <c r="R21" s="195"/>
      <c r="S21" s="195"/>
      <c r="T21" s="195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5"/>
      <c r="R22" s="195"/>
      <c r="S22" s="195"/>
      <c r="T22" s="195"/>
      <c r="U22" s="96"/>
      <c r="V22" s="96"/>
      <c r="W22" s="96"/>
      <c r="X22" s="96"/>
      <c r="Y22" s="96"/>
      <c r="Z22" s="96"/>
    </row>
    <row r="23" spans="5:35" ht="15.75" x14ac:dyDescent="0.25">
      <c r="O23" s="182"/>
      <c r="P23" s="99" t="s">
        <v>4093</v>
      </c>
      <c r="Q23" s="196" t="s">
        <v>1092</v>
      </c>
      <c r="R23" s="197" t="s">
        <v>1093</v>
      </c>
      <c r="S23" s="196" t="s">
        <v>1094</v>
      </c>
      <c r="T23" s="198" t="s">
        <v>1095</v>
      </c>
      <c r="AD23" t="s">
        <v>25</v>
      </c>
    </row>
    <row r="24" spans="5:35" x14ac:dyDescent="0.25">
      <c r="O24" s="99"/>
      <c r="P24" s="99"/>
      <c r="Q24" s="196"/>
      <c r="R24" s="197"/>
      <c r="S24" s="196"/>
      <c r="T24" s="198"/>
    </row>
    <row r="25" spans="5:35" x14ac:dyDescent="0.25">
      <c r="O25" s="177" t="s">
        <v>4151</v>
      </c>
      <c r="P25" s="177">
        <v>2182188507</v>
      </c>
      <c r="Q25" s="178" t="s">
        <v>1096</v>
      </c>
      <c r="R25" s="178" t="s">
        <v>4094</v>
      </c>
      <c r="S25" s="178" t="s">
        <v>4099</v>
      </c>
      <c r="T25" s="178" t="s">
        <v>1097</v>
      </c>
    </row>
    <row r="26" spans="5:35" x14ac:dyDescent="0.25">
      <c r="O26" s="177"/>
      <c r="P26" s="177">
        <v>2123095122</v>
      </c>
      <c r="Q26" s="179" t="s">
        <v>1098</v>
      </c>
      <c r="R26" s="179" t="s">
        <v>1099</v>
      </c>
      <c r="S26" s="179" t="s">
        <v>1100</v>
      </c>
      <c r="T26" s="179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7" t="s">
        <v>4230</v>
      </c>
      <c r="P27" s="177">
        <v>2188831909</v>
      </c>
      <c r="Q27" s="99" t="s">
        <v>4096</v>
      </c>
      <c r="R27" s="99" t="s">
        <v>4097</v>
      </c>
      <c r="S27" s="99" t="s">
        <v>4098</v>
      </c>
      <c r="T27" s="180" t="s">
        <v>4100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4086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-88</v>
      </c>
      <c r="C91" s="144">
        <f>$B$89/(1+(C$90/36500))^$B91</f>
        <v>3133024.562172289</v>
      </c>
      <c r="D91" s="144">
        <f>$B$89/(1+(D$90/36500))^$B91</f>
        <v>3140583.4328329558</v>
      </c>
      <c r="E91" s="144">
        <f t="shared" ref="E91:K106" si="0">$B$89/(1+(E$90/36500))^$B91</f>
        <v>3148160.3326209271</v>
      </c>
      <c r="F91" s="144">
        <f t="shared" si="0"/>
        <v>3155755.3040431417</v>
      </c>
      <c r="G91" s="144">
        <f t="shared" si="0"/>
        <v>3163368.3897054782</v>
      </c>
      <c r="H91" s="144">
        <f t="shared" si="0"/>
        <v>3170999.6323133633</v>
      </c>
      <c r="I91" s="144">
        <f t="shared" si="0"/>
        <v>3178649.0746715134</v>
      </c>
      <c r="J91" s="144">
        <f t="shared" si="0"/>
        <v>3186316.7596843876</v>
      </c>
      <c r="K91" s="144">
        <f>$B$89/(1+(K$90/36500))^$B91</f>
        <v>3194002.7303564777</v>
      </c>
      <c r="L91" s="99"/>
    </row>
    <row r="92" spans="1:12" x14ac:dyDescent="0.25">
      <c r="A92" s="145" t="s">
        <v>3860</v>
      </c>
      <c r="B92" s="91">
        <f>120-'اوراق بدون ریسک'!$AD$19</f>
        <v>-84</v>
      </c>
      <c r="C92" s="146">
        <f t="shared" ref="C92:K112" si="1">$B$89/(1+(C$90/36500))^$B92</f>
        <v>3126851.9612692161</v>
      </c>
      <c r="D92" s="146">
        <f t="shared" si="1"/>
        <v>3134052.6370144724</v>
      </c>
      <c r="E92" s="146">
        <f t="shared" si="0"/>
        <v>3141269.6969918362</v>
      </c>
      <c r="F92" s="146">
        <f t="shared" si="0"/>
        <v>3148503.1780313989</v>
      </c>
      <c r="G92" s="146">
        <f t="shared" si="0"/>
        <v>3155753.1170449308</v>
      </c>
      <c r="H92" s="146">
        <f t="shared" si="0"/>
        <v>3163019.5510264141</v>
      </c>
      <c r="I92" s="146">
        <f t="shared" si="0"/>
        <v>3170302.517051761</v>
      </c>
      <c r="J92" s="146">
        <f t="shared" si="0"/>
        <v>3177602.0522792111</v>
      </c>
      <c r="K92" s="146">
        <f t="shared" si="0"/>
        <v>3184918.1939495658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-67</v>
      </c>
      <c r="C93" s="149">
        <f t="shared" si="1"/>
        <v>3100753.7903690338</v>
      </c>
      <c r="D93" s="149">
        <f t="shared" si="1"/>
        <v>3106447.9234549301</v>
      </c>
      <c r="E93" s="149">
        <f t="shared" si="0"/>
        <v>3112152.3567293929</v>
      </c>
      <c r="F93" s="149">
        <f t="shared" si="0"/>
        <v>3117867.1085417587</v>
      </c>
      <c r="G93" s="149">
        <f t="shared" si="0"/>
        <v>3123592.1972734649</v>
      </c>
      <c r="H93" s="149">
        <f t="shared" si="0"/>
        <v>3129327.6413383912</v>
      </c>
      <c r="I93" s="149">
        <f t="shared" si="0"/>
        <v>3135073.4591825502</v>
      </c>
      <c r="J93" s="149">
        <f t="shared" si="0"/>
        <v>3140829.6692843121</v>
      </c>
      <c r="K93" s="149">
        <f t="shared" si="0"/>
        <v>3146596.2901545074</v>
      </c>
      <c r="L93" s="144">
        <f t="shared" ref="L93:L114" si="2">$B$89/(1+(L$92/36500))^$B91</f>
        <v>3201707.0297924839</v>
      </c>
    </row>
    <row r="94" spans="1:12" x14ac:dyDescent="0.25">
      <c r="A94" s="150" t="s">
        <v>3862</v>
      </c>
      <c r="B94" s="151">
        <f>116-'اوراق بدون ریسک'!$AD$19</f>
        <v>-88</v>
      </c>
      <c r="C94" s="152">
        <f t="shared" si="1"/>
        <v>3133024.562172289</v>
      </c>
      <c r="D94" s="152">
        <f t="shared" si="1"/>
        <v>3140583.4328329558</v>
      </c>
      <c r="E94" s="152">
        <f t="shared" si="0"/>
        <v>3148160.3326209271</v>
      </c>
      <c r="F94" s="152">
        <f t="shared" si="0"/>
        <v>3155755.3040431417</v>
      </c>
      <c r="G94" s="152">
        <f t="shared" si="0"/>
        <v>3163368.3897054782</v>
      </c>
      <c r="H94" s="152">
        <f t="shared" si="0"/>
        <v>3170999.6323133633</v>
      </c>
      <c r="I94" s="152">
        <f t="shared" si="0"/>
        <v>3178649.0746715134</v>
      </c>
      <c r="J94" s="152">
        <f t="shared" si="0"/>
        <v>3186316.7596843876</v>
      </c>
      <c r="K94" s="152">
        <f t="shared" si="0"/>
        <v>3194002.7303564777</v>
      </c>
      <c r="L94" s="146">
        <f t="shared" si="2"/>
        <v>3192250.9793863157</v>
      </c>
    </row>
    <row r="95" spans="1:12" x14ac:dyDescent="0.25">
      <c r="A95" s="153" t="s">
        <v>3863</v>
      </c>
      <c r="B95" s="154">
        <f>167-'اوراق بدون ریسک'!$AD$19</f>
        <v>-37</v>
      </c>
      <c r="C95" s="155">
        <f t="shared" si="1"/>
        <v>3055228.4422249245</v>
      </c>
      <c r="D95" s="155">
        <f t="shared" si="1"/>
        <v>3058325.5228466815</v>
      </c>
      <c r="E95" s="155">
        <f t="shared" si="0"/>
        <v>3061425.6580393631</v>
      </c>
      <c r="F95" s="155">
        <f t="shared" si="0"/>
        <v>3064528.8507318478</v>
      </c>
      <c r="G95" s="155">
        <f t="shared" si="0"/>
        <v>3067635.1038557035</v>
      </c>
      <c r="H95" s="155">
        <f t="shared" si="0"/>
        <v>3070744.4203453343</v>
      </c>
      <c r="I95" s="155">
        <f t="shared" si="0"/>
        <v>3073856.8031377885</v>
      </c>
      <c r="J95" s="155">
        <f t="shared" si="0"/>
        <v>3076972.255172858</v>
      </c>
      <c r="K95" s="155">
        <f t="shared" si="0"/>
        <v>3080090.7793930932</v>
      </c>
      <c r="L95" s="149">
        <f t="shared" si="2"/>
        <v>3152373.3403364373</v>
      </c>
    </row>
    <row r="96" spans="1:12" x14ac:dyDescent="0.25">
      <c r="A96" s="158" t="s">
        <v>3864</v>
      </c>
      <c r="B96" s="23">
        <f>181-'اوراق بدون ریسک'!$AD$19</f>
        <v>-23</v>
      </c>
      <c r="C96" s="159">
        <f t="shared" si="1"/>
        <v>3034212.6230156873</v>
      </c>
      <c r="D96" s="159">
        <f t="shared" si="1"/>
        <v>3036124.2259418708</v>
      </c>
      <c r="E96" s="159">
        <f t="shared" si="0"/>
        <v>3038036.9808145617</v>
      </c>
      <c r="F96" s="159">
        <f t="shared" si="0"/>
        <v>3039950.8882963625</v>
      </c>
      <c r="G96" s="159">
        <f t="shared" si="0"/>
        <v>3041865.9490502118</v>
      </c>
      <c r="H96" s="159">
        <f t="shared" si="0"/>
        <v>3043782.1637394745</v>
      </c>
      <c r="I96" s="159">
        <f t="shared" si="0"/>
        <v>3045699.5330278287</v>
      </c>
      <c r="J96" s="159">
        <f t="shared" si="0"/>
        <v>3047618.0575793157</v>
      </c>
      <c r="K96" s="159">
        <f t="shared" si="0"/>
        <v>3049537.7380583603</v>
      </c>
      <c r="L96" s="152">
        <f t="shared" si="2"/>
        <v>3201707.0297924839</v>
      </c>
    </row>
    <row r="97" spans="1:12" x14ac:dyDescent="0.25">
      <c r="A97" s="160" t="s">
        <v>3865</v>
      </c>
      <c r="B97" s="87">
        <f>197-'اوراق بدون ریسک'!$AD$19</f>
        <v>-7</v>
      </c>
      <c r="C97" s="140">
        <f t="shared" si="1"/>
        <v>3010371.4984314218</v>
      </c>
      <c r="D97" s="140">
        <f t="shared" si="1"/>
        <v>3010948.5927878735</v>
      </c>
      <c r="E97" s="140">
        <f t="shared" si="0"/>
        <v>3011525.7819675845</v>
      </c>
      <c r="F97" s="140">
        <f t="shared" si="0"/>
        <v>3012103.0659835381</v>
      </c>
      <c r="G97" s="140">
        <f t="shared" si="0"/>
        <v>3012680.4448487144</v>
      </c>
      <c r="H97" s="140">
        <f t="shared" si="0"/>
        <v>3013257.9185761083</v>
      </c>
      <c r="I97" s="140">
        <f t="shared" si="0"/>
        <v>3013835.4871787056</v>
      </c>
      <c r="J97" s="140">
        <f t="shared" si="0"/>
        <v>3014413.1506694909</v>
      </c>
      <c r="K97" s="140">
        <f t="shared" si="0"/>
        <v>3014990.9090614584</v>
      </c>
      <c r="L97" s="155">
        <f t="shared" si="2"/>
        <v>3083212.3787437947</v>
      </c>
    </row>
    <row r="98" spans="1:12" x14ac:dyDescent="0.25">
      <c r="A98" s="161" t="s">
        <v>3866</v>
      </c>
      <c r="B98" s="23">
        <f>214-'اوراق بدون ریسک'!$AD$19</f>
        <v>10</v>
      </c>
      <c r="C98" s="106">
        <f t="shared" si="1"/>
        <v>2985245.5280266032</v>
      </c>
      <c r="D98" s="106">
        <f t="shared" si="1"/>
        <v>2984428.1787830857</v>
      </c>
      <c r="E98" s="106">
        <f t="shared" si="0"/>
        <v>2983611.075698765</v>
      </c>
      <c r="F98" s="106">
        <f t="shared" si="0"/>
        <v>2982794.2186927674</v>
      </c>
      <c r="G98" s="106">
        <f t="shared" si="0"/>
        <v>2981977.6076842612</v>
      </c>
      <c r="H98" s="106">
        <f t="shared" si="0"/>
        <v>2981161.2425924134</v>
      </c>
      <c r="I98" s="106">
        <f t="shared" si="0"/>
        <v>2980345.1233364441</v>
      </c>
      <c r="J98" s="106">
        <f t="shared" si="0"/>
        <v>2979529.2498355997</v>
      </c>
      <c r="K98" s="106">
        <f t="shared" si="0"/>
        <v>2978713.6220091498</v>
      </c>
      <c r="L98" s="159">
        <f t="shared" si="2"/>
        <v>3051458.5751297488</v>
      </c>
    </row>
    <row r="99" spans="1:12" x14ac:dyDescent="0.25">
      <c r="A99" s="162" t="s">
        <v>3867</v>
      </c>
      <c r="B99" s="163">
        <f>272-'اوراق بدون ریسک'!$AD$19</f>
        <v>68</v>
      </c>
      <c r="C99" s="164">
        <f t="shared" si="1"/>
        <v>2901089.3607468689</v>
      </c>
      <c r="D99" s="164">
        <f t="shared" si="1"/>
        <v>2895692.3559019105</v>
      </c>
      <c r="E99" s="164">
        <f t="shared" si="0"/>
        <v>2890305.5386785199</v>
      </c>
      <c r="F99" s="164">
        <f t="shared" si="0"/>
        <v>2884928.8895679261</v>
      </c>
      <c r="G99" s="164">
        <f t="shared" si="0"/>
        <v>2879562.3890993246</v>
      </c>
      <c r="H99" s="164">
        <f t="shared" si="0"/>
        <v>2874206.0178395379</v>
      </c>
      <c r="I99" s="164">
        <f t="shared" si="0"/>
        <v>2868859.7563932841</v>
      </c>
      <c r="J99" s="164">
        <f t="shared" si="0"/>
        <v>2863523.5854029432</v>
      </c>
      <c r="K99" s="164">
        <f t="shared" si="0"/>
        <v>2858197.485548439</v>
      </c>
      <c r="L99" s="140">
        <f t="shared" si="2"/>
        <v>3015568.7623676001</v>
      </c>
    </row>
    <row r="100" spans="1:12" x14ac:dyDescent="0.25">
      <c r="A100" s="147" t="s">
        <v>3868</v>
      </c>
      <c r="B100" s="148">
        <f>302-'اوراق بدون ریسک'!$AD$19</f>
        <v>98</v>
      </c>
      <c r="C100" s="149">
        <f t="shared" si="1"/>
        <v>2858495.4909738507</v>
      </c>
      <c r="D100" s="149">
        <f t="shared" si="1"/>
        <v>2850834.7980021569</v>
      </c>
      <c r="E100" s="149">
        <f t="shared" si="0"/>
        <v>2843194.8444139394</v>
      </c>
      <c r="F100" s="149">
        <f t="shared" si="0"/>
        <v>2835575.5734969908</v>
      </c>
      <c r="G100" s="149">
        <f t="shared" si="0"/>
        <v>2827976.9286958338</v>
      </c>
      <c r="H100" s="149">
        <f t="shared" si="0"/>
        <v>2820398.8536109137</v>
      </c>
      <c r="I100" s="149">
        <f t="shared" si="0"/>
        <v>2812841.291998649</v>
      </c>
      <c r="J100" s="149">
        <f t="shared" si="0"/>
        <v>2805304.187770769</v>
      </c>
      <c r="K100" s="149">
        <f t="shared" si="0"/>
        <v>2797787.4849938219</v>
      </c>
      <c r="L100" s="106">
        <f t="shared" si="2"/>
        <v>2977898.2397763906</v>
      </c>
    </row>
    <row r="101" spans="1:12" x14ac:dyDescent="0.25">
      <c r="A101" s="150" t="s">
        <v>3869</v>
      </c>
      <c r="B101" s="151">
        <f>319-'اوراق بدون ریسک'!$AD$19</f>
        <v>115</v>
      </c>
      <c r="C101" s="152">
        <f t="shared" si="1"/>
        <v>2834637.1488569588</v>
      </c>
      <c r="D101" s="152">
        <f t="shared" si="1"/>
        <v>2825724.6651744586</v>
      </c>
      <c r="E101" s="152">
        <f t="shared" si="0"/>
        <v>2816840.4464466134</v>
      </c>
      <c r="F101" s="152">
        <f t="shared" si="0"/>
        <v>2807984.4022639678</v>
      </c>
      <c r="G101" s="152">
        <f t="shared" si="0"/>
        <v>2799156.4425088442</v>
      </c>
      <c r="H101" s="152">
        <f t="shared" si="0"/>
        <v>2790356.4773539514</v>
      </c>
      <c r="I101" s="152">
        <f t="shared" si="0"/>
        <v>2781584.4172620135</v>
      </c>
      <c r="J101" s="152">
        <f t="shared" si="0"/>
        <v>2772840.172984554</v>
      </c>
      <c r="K101" s="152">
        <f t="shared" si="0"/>
        <v>2764123.655560893</v>
      </c>
      <c r="L101" s="164">
        <f t="shared" si="2"/>
        <v>2852881.4375472078</v>
      </c>
    </row>
    <row r="102" spans="1:12" x14ac:dyDescent="0.25">
      <c r="A102" s="147" t="s">
        <v>3870</v>
      </c>
      <c r="B102" s="148">
        <f>334-'اوراق بدون ریسک'!$AD$19</f>
        <v>130</v>
      </c>
      <c r="C102" s="149">
        <f t="shared" si="1"/>
        <v>2813751.094652805</v>
      </c>
      <c r="D102" s="149">
        <f t="shared" si="1"/>
        <v>2803752.3997021094</v>
      </c>
      <c r="E102" s="149">
        <f t="shared" si="0"/>
        <v>2793789.5075544268</v>
      </c>
      <c r="F102" s="149">
        <f t="shared" si="0"/>
        <v>2783862.2890338521</v>
      </c>
      <c r="G102" s="149">
        <f t="shared" si="0"/>
        <v>2773970.6154342028</v>
      </c>
      <c r="H102" s="149">
        <f t="shared" si="0"/>
        <v>2764114.3585168077</v>
      </c>
      <c r="I102" s="149">
        <f t="shared" si="0"/>
        <v>2754293.3905094303</v>
      </c>
      <c r="J102" s="149">
        <f t="shared" si="0"/>
        <v>2744507.5841042656</v>
      </c>
      <c r="K102" s="149">
        <f t="shared" si="0"/>
        <v>2734756.8124561575</v>
      </c>
      <c r="L102" s="149">
        <f t="shared" si="2"/>
        <v>2790291.1278888015</v>
      </c>
    </row>
    <row r="103" spans="1:12" x14ac:dyDescent="0.25">
      <c r="A103" s="150" t="s">
        <v>3871</v>
      </c>
      <c r="B103" s="151">
        <f>349-'اوراق بدون ریسک'!$AD$19</f>
        <v>145</v>
      </c>
      <c r="C103" s="152">
        <f t="shared" si="1"/>
        <v>2793018.9321946874</v>
      </c>
      <c r="D103" s="152">
        <f t="shared" si="1"/>
        <v>2781950.986137568</v>
      </c>
      <c r="E103" s="152">
        <f t="shared" si="0"/>
        <v>2770927.2004977707</v>
      </c>
      <c r="F103" s="152">
        <f t="shared" si="0"/>
        <v>2759947.3978759865</v>
      </c>
      <c r="G103" s="152">
        <f t="shared" si="0"/>
        <v>2749011.4015905331</v>
      </c>
      <c r="H103" s="152">
        <f t="shared" si="0"/>
        <v>2738119.0356738856</v>
      </c>
      <c r="I103" s="152">
        <f t="shared" si="0"/>
        <v>2727270.124870474</v>
      </c>
      <c r="J103" s="152">
        <f t="shared" si="0"/>
        <v>2716464.4946334572</v>
      </c>
      <c r="K103" s="152">
        <f t="shared" si="0"/>
        <v>2705701.9711217494</v>
      </c>
      <c r="L103" s="152">
        <f t="shared" si="2"/>
        <v>2755434.7763172779</v>
      </c>
    </row>
    <row r="104" spans="1:12" x14ac:dyDescent="0.25">
      <c r="A104" s="162" t="s">
        <v>3872</v>
      </c>
      <c r="B104" s="163">
        <f>361-'اوراق بدون ریسک'!$AD$19</f>
        <v>157</v>
      </c>
      <c r="C104" s="164">
        <f t="shared" si="1"/>
        <v>2776543.2420242042</v>
      </c>
      <c r="D104" s="164">
        <f t="shared" si="1"/>
        <v>2764631.9755530925</v>
      </c>
      <c r="E104" s="164">
        <f t="shared" si="0"/>
        <v>2752772.1320338156</v>
      </c>
      <c r="F104" s="164">
        <f t="shared" si="0"/>
        <v>2740963.4880658216</v>
      </c>
      <c r="G104" s="164">
        <f t="shared" si="0"/>
        <v>2729205.8212253372</v>
      </c>
      <c r="H104" s="164">
        <f t="shared" si="0"/>
        <v>2717498.9100604923</v>
      </c>
      <c r="I104" s="164">
        <f t="shared" si="0"/>
        <v>2705842.5340877939</v>
      </c>
      <c r="J104" s="164">
        <f t="shared" si="0"/>
        <v>2694236.4737875154</v>
      </c>
      <c r="K104" s="164">
        <f t="shared" si="0"/>
        <v>2682680.510599371</v>
      </c>
      <c r="L104" s="149">
        <f t="shared" si="2"/>
        <v>2725040.9491809858</v>
      </c>
    </row>
    <row r="105" spans="1:12" x14ac:dyDescent="0.25">
      <c r="A105" s="156" t="s">
        <v>3873</v>
      </c>
      <c r="B105" s="93">
        <f>372-'اوراق بدون ریسک'!$AD$19</f>
        <v>168</v>
      </c>
      <c r="C105" s="157">
        <f t="shared" si="1"/>
        <v>2761525.9171442515</v>
      </c>
      <c r="D105" s="157">
        <f t="shared" si="1"/>
        <v>2748850.9485555207</v>
      </c>
      <c r="E105" s="157">
        <f t="shared" si="0"/>
        <v>2736234.5007612389</v>
      </c>
      <c r="F105" s="157">
        <f t="shared" si="0"/>
        <v>2723676.301977403</v>
      </c>
      <c r="G105" s="157">
        <f t="shared" si="0"/>
        <v>2711176.0816898081</v>
      </c>
      <c r="H105" s="157">
        <f t="shared" si="0"/>
        <v>2698733.5706474511</v>
      </c>
      <c r="I105" s="157">
        <f t="shared" si="0"/>
        <v>2686348.5008574105</v>
      </c>
      <c r="J105" s="157">
        <f t="shared" si="0"/>
        <v>2674020.6055785511</v>
      </c>
      <c r="K105" s="157">
        <f t="shared" si="0"/>
        <v>2661749.6193155521</v>
      </c>
      <c r="L105" s="152">
        <f t="shared" si="2"/>
        <v>2694982.3811972342</v>
      </c>
    </row>
    <row r="106" spans="1:12" x14ac:dyDescent="0.25">
      <c r="A106" s="150" t="s">
        <v>3874</v>
      </c>
      <c r="B106" s="151">
        <f>391-'اوراق بدون ریسک'!$AD$19</f>
        <v>187</v>
      </c>
      <c r="C106" s="152">
        <f t="shared" si="1"/>
        <v>2735777.9616195047</v>
      </c>
      <c r="D106" s="152">
        <f t="shared" si="1"/>
        <v>2721804.6915489333</v>
      </c>
      <c r="E106" s="152">
        <f t="shared" si="0"/>
        <v>2707903.1711032717</v>
      </c>
      <c r="F106" s="152">
        <f t="shared" si="0"/>
        <v>2694073.0299146445</v>
      </c>
      <c r="G106" s="152">
        <f t="shared" si="0"/>
        <v>2680313.8995372532</v>
      </c>
      <c r="H106" s="152">
        <f t="shared" si="0"/>
        <v>2666625.4134366694</v>
      </c>
      <c r="I106" s="152">
        <f t="shared" si="0"/>
        <v>2653007.2069807453</v>
      </c>
      <c r="J106" s="152">
        <f t="shared" si="0"/>
        <v>2639458.9174292819</v>
      </c>
      <c r="K106" s="152">
        <f t="shared" si="0"/>
        <v>2625980.1839240538</v>
      </c>
      <c r="L106" s="164">
        <f t="shared" si="2"/>
        <v>2671174.4269183795</v>
      </c>
    </row>
    <row r="107" spans="1:12" x14ac:dyDescent="0.25">
      <c r="A107" s="156" t="s">
        <v>3875</v>
      </c>
      <c r="B107" s="93">
        <f>407-'اوراق بدون ریسک'!$AD$19</f>
        <v>203</v>
      </c>
      <c r="C107" s="157">
        <f t="shared" si="1"/>
        <v>2714281.767607552</v>
      </c>
      <c r="D107" s="157">
        <f t="shared" si="1"/>
        <v>2699235.4054025444</v>
      </c>
      <c r="E107" s="157">
        <f t="shared" si="1"/>
        <v>2684272.8598592551</v>
      </c>
      <c r="F107" s="157">
        <f t="shared" si="1"/>
        <v>2669393.6617960106</v>
      </c>
      <c r="G107" s="157">
        <f t="shared" si="1"/>
        <v>2654597.3446704289</v>
      </c>
      <c r="H107" s="157">
        <f t="shared" si="1"/>
        <v>2639883.4445637716</v>
      </c>
      <c r="I107" s="157">
        <f t="shared" si="1"/>
        <v>2625251.500167063</v>
      </c>
      <c r="J107" s="157">
        <f t="shared" si="1"/>
        <v>2610701.0527659003</v>
      </c>
      <c r="K107" s="157">
        <f t="shared" si="1"/>
        <v>2596231.6462256685</v>
      </c>
      <c r="L107" s="157">
        <f t="shared" si="2"/>
        <v>2649535.277813145</v>
      </c>
    </row>
    <row r="108" spans="1:12" x14ac:dyDescent="0.25">
      <c r="A108" s="147" t="s">
        <v>3876</v>
      </c>
      <c r="B108" s="148">
        <f>573-'اوراق بدون ریسک'!$AD$19</f>
        <v>369</v>
      </c>
      <c r="C108" s="149">
        <f t="shared" si="1"/>
        <v>2500984.7170445179</v>
      </c>
      <c r="D108" s="149">
        <f t="shared" si="1"/>
        <v>2475840.8446594928</v>
      </c>
      <c r="E108" s="149">
        <f t="shared" si="1"/>
        <v>2450950.4365785089</v>
      </c>
      <c r="F108" s="149">
        <f t="shared" si="1"/>
        <v>2426310.9309038175</v>
      </c>
      <c r="G108" s="149">
        <f t="shared" si="1"/>
        <v>2401919.7917015632</v>
      </c>
      <c r="H108" s="149">
        <f t="shared" si="1"/>
        <v>2377774.5087367338</v>
      </c>
      <c r="I108" s="149">
        <f t="shared" si="1"/>
        <v>2353872.5972136012</v>
      </c>
      <c r="J108" s="149">
        <f t="shared" si="1"/>
        <v>2330211.5975165041</v>
      </c>
      <c r="K108" s="149">
        <f t="shared" si="1"/>
        <v>2306789.0749538154</v>
      </c>
      <c r="L108" s="152">
        <f t="shared" si="2"/>
        <v>2612570.6474790978</v>
      </c>
    </row>
    <row r="109" spans="1:12" x14ac:dyDescent="0.25">
      <c r="A109" s="156" t="s">
        <v>3877</v>
      </c>
      <c r="B109" s="93">
        <f>579-'اوراق بدون ریسک'!$AD$19</f>
        <v>375</v>
      </c>
      <c r="C109" s="157">
        <f t="shared" si="1"/>
        <v>2493597.2992116096</v>
      </c>
      <c r="D109" s="157">
        <f t="shared" si="1"/>
        <v>2468122.1503986884</v>
      </c>
      <c r="E109" s="157">
        <f t="shared" si="1"/>
        <v>2442907.9483260051</v>
      </c>
      <c r="F109" s="157">
        <f t="shared" si="1"/>
        <v>2417952.0130312396</v>
      </c>
      <c r="G109" s="157">
        <f t="shared" si="1"/>
        <v>2393251.6921482934</v>
      </c>
      <c r="H109" s="157">
        <f t="shared" si="1"/>
        <v>2368804.3606211571</v>
      </c>
      <c r="I109" s="157">
        <f t="shared" si="1"/>
        <v>2344607.4204235547</v>
      </c>
      <c r="J109" s="157">
        <f t="shared" si="1"/>
        <v>2320658.30027916</v>
      </c>
      <c r="K109" s="157">
        <f t="shared" si="1"/>
        <v>2296954.4553852598</v>
      </c>
      <c r="L109" s="157">
        <f t="shared" si="2"/>
        <v>2581842.8269770863</v>
      </c>
    </row>
    <row r="110" spans="1:12" x14ac:dyDescent="0.25">
      <c r="A110" s="150" t="s">
        <v>3878</v>
      </c>
      <c r="B110" s="151">
        <f>753-'اوراق بدون ریسک'!$AD$19</f>
        <v>549</v>
      </c>
      <c r="C110" s="152">
        <f t="shared" si="1"/>
        <v>2288597.7606981532</v>
      </c>
      <c r="D110" s="152">
        <f t="shared" si="1"/>
        <v>2254449.5073822667</v>
      </c>
      <c r="E110" s="152">
        <f t="shared" si="1"/>
        <v>2220811.6956497501</v>
      </c>
      <c r="F110" s="152">
        <f t="shared" si="1"/>
        <v>2187676.6818523728</v>
      </c>
      <c r="G110" s="152">
        <f t="shared" si="1"/>
        <v>2155036.9370073946</v>
      </c>
      <c r="H110" s="152">
        <f t="shared" si="1"/>
        <v>2122885.0450727465</v>
      </c>
      <c r="I110" s="152">
        <f t="shared" si="1"/>
        <v>2091213.7012518854</v>
      </c>
      <c r="J110" s="152">
        <f t="shared" si="1"/>
        <v>2060015.7103210911</v>
      </c>
      <c r="K110" s="152">
        <f t="shared" si="1"/>
        <v>2029283.9849826854</v>
      </c>
      <c r="L110" s="149">
        <f t="shared" si="2"/>
        <v>2283602.6195048853</v>
      </c>
    </row>
    <row r="111" spans="1:12" x14ac:dyDescent="0.25">
      <c r="A111" s="162" t="s">
        <v>3879</v>
      </c>
      <c r="B111" s="163">
        <f>757-'اوراق بدون ریسک'!$AD$19</f>
        <v>553</v>
      </c>
      <c r="C111" s="164">
        <f t="shared" si="1"/>
        <v>2284088.8268152154</v>
      </c>
      <c r="D111" s="164">
        <f t="shared" si="1"/>
        <v>2249761.413679081</v>
      </c>
      <c r="E111" s="164">
        <f t="shared" si="1"/>
        <v>2215950.8237186158</v>
      </c>
      <c r="F111" s="164">
        <f t="shared" si="1"/>
        <v>2182649.2619667379</v>
      </c>
      <c r="G111" s="164">
        <f t="shared" si="1"/>
        <v>2149849.0512327659</v>
      </c>
      <c r="H111" s="164">
        <f t="shared" si="1"/>
        <v>2117542.6303181374</v>
      </c>
      <c r="I111" s="164">
        <f t="shared" si="1"/>
        <v>2085722.5522629018</v>
      </c>
      <c r="J111" s="164">
        <f t="shared" si="1"/>
        <v>2054381.4826157165</v>
      </c>
      <c r="K111" s="164">
        <f t="shared" si="1"/>
        <v>2023512.1977308064</v>
      </c>
      <c r="L111" s="157">
        <f t="shared" si="2"/>
        <v>2273493.3671396612</v>
      </c>
    </row>
    <row r="112" spans="1:12" x14ac:dyDescent="0.25">
      <c r="A112" s="147" t="s">
        <v>3880</v>
      </c>
      <c r="B112" s="148">
        <f>774-'اوراق بدون ریسک'!$AD$19</f>
        <v>570</v>
      </c>
      <c r="C112" s="149">
        <f t="shared" si="1"/>
        <v>2265024.7517352989</v>
      </c>
      <c r="D112" s="149">
        <f t="shared" si="1"/>
        <v>2229945.5309882644</v>
      </c>
      <c r="E112" s="149">
        <f t="shared" si="1"/>
        <v>2195410.5325742923</v>
      </c>
      <c r="F112" s="149">
        <f t="shared" si="1"/>
        <v>2161411.2988204099</v>
      </c>
      <c r="G112" s="149">
        <f t="shared" si="1"/>
        <v>2127939.5037196814</v>
      </c>
      <c r="H112" s="149">
        <f t="shared" si="1"/>
        <v>2094986.9508763002</v>
      </c>
      <c r="I112" s="149">
        <f t="shared" si="1"/>
        <v>2062545.5714865939</v>
      </c>
      <c r="J112" s="149">
        <f t="shared" si="1"/>
        <v>2030607.422348419</v>
      </c>
      <c r="K112" s="149">
        <f t="shared" si="1"/>
        <v>1999164.6839023887</v>
      </c>
      <c r="L112" s="152">
        <f t="shared" si="2"/>
        <v>1999011.5442435273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1993107.5830912471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1968209.6583042154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4" activePane="bottomLeft" state="frozen"/>
      <selection pane="bottomLeft" activeCell="C260" sqref="C26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4268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4285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D192" sqref="D19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4148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4149</v>
      </c>
      <c r="R8" s="115" t="s">
        <v>4150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4209</v>
      </c>
      <c r="M20" t="s">
        <v>4035</v>
      </c>
      <c r="N20" t="s">
        <v>4210</v>
      </c>
      <c r="O20" t="s">
        <v>4116</v>
      </c>
      <c r="P20" t="s">
        <v>4117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4284</v>
      </c>
      <c r="B191" s="38">
        <v>-5000</v>
      </c>
      <c r="C191" s="73" t="s">
        <v>4285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D10" zoomScale="85" zoomScaleNormal="85" workbookViewId="0">
      <selection activeCell="P23" sqref="P2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96" bestFit="1" customWidth="1"/>
    <col min="45" max="45" width="15.140625" style="96" bestFit="1" customWidth="1"/>
    <col min="46" max="46" width="6.28515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 t="s">
        <v>4169</v>
      </c>
      <c r="AP6" s="99" t="s">
        <v>267</v>
      </c>
      <c r="AQ6" s="99" t="s">
        <v>180</v>
      </c>
      <c r="AR6" s="99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1</v>
      </c>
      <c r="AP7" s="113">
        <v>4960000</v>
      </c>
      <c r="AQ7" s="99" t="s">
        <v>4170</v>
      </c>
      <c r="AR7" s="99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2</v>
      </c>
      <c r="AP8" s="113">
        <v>15000000</v>
      </c>
      <c r="AQ8" s="99" t="s">
        <v>4161</v>
      </c>
      <c r="AR8" s="99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>
        <v>3</v>
      </c>
      <c r="AP9" s="113">
        <v>15000000</v>
      </c>
      <c r="AQ9" s="99" t="s">
        <v>4162</v>
      </c>
      <c r="AR9" s="99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>
        <v>4</v>
      </c>
      <c r="AP10" s="173">
        <v>3000000</v>
      </c>
      <c r="AQ10" s="99" t="s">
        <v>4171</v>
      </c>
      <c r="AR10" s="99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>
        <v>5</v>
      </c>
      <c r="AP11" s="173">
        <v>2500000</v>
      </c>
      <c r="AQ11" s="99" t="s">
        <v>4163</v>
      </c>
      <c r="AR11" s="99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>
        <v>6</v>
      </c>
      <c r="AP12" s="173">
        <v>2500000</v>
      </c>
      <c r="AQ12" s="99" t="s">
        <v>4173</v>
      </c>
      <c r="AR12" s="99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>
        <v>7</v>
      </c>
      <c r="AP13" s="173">
        <v>-150000</v>
      </c>
      <c r="AQ13" s="99" t="s">
        <v>4182</v>
      </c>
      <c r="AR13" s="99" t="s">
        <v>4198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5"/>
      <c r="S14" s="116"/>
      <c r="T14" s="116"/>
      <c r="U14" s="115"/>
      <c r="V14" s="115"/>
      <c r="W14" s="116"/>
      <c r="X14" s="115"/>
      <c r="Y14" s="115"/>
      <c r="AO14" s="99">
        <v>8</v>
      </c>
      <c r="AP14" s="173">
        <v>-250000</v>
      </c>
      <c r="AQ14" s="99" t="s">
        <v>4188</v>
      </c>
      <c r="AR14" s="99" t="s">
        <v>4204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2" t="s">
        <v>451</v>
      </c>
      <c r="L15" s="172" t="s">
        <v>452</v>
      </c>
      <c r="M15" s="172"/>
      <c r="N15" s="172" t="s">
        <v>752</v>
      </c>
      <c r="R15" s="115"/>
      <c r="S15" s="116"/>
      <c r="T15" s="116"/>
      <c r="U15" s="115"/>
      <c r="V15" s="115"/>
      <c r="W15" s="116"/>
      <c r="X15" s="115"/>
      <c r="Y15" s="115"/>
      <c r="AO15" s="99">
        <v>9</v>
      </c>
      <c r="AP15" s="173">
        <v>-696454</v>
      </c>
      <c r="AQ15" s="99" t="s">
        <v>4188</v>
      </c>
      <c r="AR15" s="99" t="s">
        <v>4199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2" t="s">
        <v>753</v>
      </c>
      <c r="N16" s="113">
        <f>'مسکن مریم یاران'!B196</f>
        <v>13305</v>
      </c>
      <c r="P16" s="28"/>
      <c r="Q16" s="25"/>
      <c r="R16" s="115"/>
      <c r="S16" s="116"/>
      <c r="T16" s="116"/>
      <c r="U16" s="115"/>
      <c r="V16" s="115"/>
      <c r="W16" s="116"/>
      <c r="X16" s="115"/>
      <c r="Y16" s="115"/>
      <c r="AO16" s="99">
        <v>10</v>
      </c>
      <c r="AP16" s="173">
        <v>-2000000</v>
      </c>
      <c r="AQ16" s="99" t="s">
        <v>4211</v>
      </c>
      <c r="AR16" s="99" t="s">
        <v>4212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2" t="s">
        <v>453</v>
      </c>
      <c r="L17" s="117">
        <f>'مسکن علی سید الشهدا'!B85</f>
        <v>22903</v>
      </c>
      <c r="M17" s="172" t="s">
        <v>657</v>
      </c>
      <c r="N17" s="113">
        <f>سارا!D267</f>
        <v>-7706950</v>
      </c>
      <c r="P17" s="28"/>
      <c r="Q17" s="173">
        <v>74302282</v>
      </c>
      <c r="R17" s="172" t="s">
        <v>4003</v>
      </c>
      <c r="S17" s="172">
        <v>4</v>
      </c>
      <c r="T17" s="172" t="s">
        <v>4048</v>
      </c>
      <c r="U17" s="115"/>
      <c r="V17" s="115"/>
      <c r="W17" s="116"/>
      <c r="X17" s="115"/>
      <c r="Y17" s="115"/>
      <c r="AO17" s="99">
        <v>11</v>
      </c>
      <c r="AP17" s="173">
        <v>-3600000</v>
      </c>
      <c r="AQ17" s="99" t="s">
        <v>4211</v>
      </c>
      <c r="AR17" s="99" t="s">
        <v>4213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2" t="s">
        <v>683</v>
      </c>
      <c r="L18" s="117">
        <v>1000000</v>
      </c>
      <c r="M18" s="99" t="s">
        <v>4085</v>
      </c>
      <c r="N18" s="113">
        <v>35695</v>
      </c>
      <c r="R18" s="115"/>
      <c r="S18" s="115"/>
      <c r="T18" s="116"/>
      <c r="U18" s="116"/>
      <c r="V18" s="116"/>
      <c r="W18" s="116"/>
      <c r="X18" s="115"/>
      <c r="Y18" s="115"/>
      <c r="AN18" s="96"/>
      <c r="AO18" s="99">
        <v>12</v>
      </c>
      <c r="AP18" s="173">
        <v>-400000</v>
      </c>
      <c r="AQ18" s="99" t="s">
        <v>4218</v>
      </c>
      <c r="AR18" s="99" t="s">
        <v>4219</v>
      </c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4146</v>
      </c>
      <c r="K19" s="172" t="s">
        <v>4159</v>
      </c>
      <c r="L19" s="117">
        <f>-مهر97!D60</f>
        <v>49555660</v>
      </c>
      <c r="M19" s="172" t="s">
        <v>4208</v>
      </c>
      <c r="N19" s="113">
        <f>48028*P33</f>
        <v>9211770.4000000004</v>
      </c>
      <c r="O19" s="170"/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4065</v>
      </c>
      <c r="AJ19" s="69" t="s">
        <v>4057</v>
      </c>
      <c r="AK19" s="69" t="s">
        <v>282</v>
      </c>
      <c r="AL19" s="99"/>
      <c r="AN19" s="96"/>
      <c r="AO19" s="99">
        <v>13</v>
      </c>
      <c r="AP19" s="173">
        <v>-1000000</v>
      </c>
      <c r="AQ19" s="99" t="s">
        <v>4270</v>
      </c>
      <c r="AR19" s="99" t="s">
        <v>4271</v>
      </c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4147</v>
      </c>
      <c r="K20" s="172"/>
      <c r="L20" s="117"/>
      <c r="M20" s="172"/>
      <c r="N20" s="113"/>
      <c r="O20" s="181"/>
      <c r="P20" s="96" t="s">
        <v>25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186</v>
      </c>
      <c r="AK20" s="113">
        <f>AH20*AJ20</f>
        <v>3348000000</v>
      </c>
      <c r="AL20" s="99"/>
      <c r="AN20" s="96"/>
      <c r="AO20" s="99"/>
      <c r="AP20" s="173"/>
      <c r="AQ20" s="99"/>
      <c r="AR20" s="99"/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L45</f>
        <v>285122862</v>
      </c>
      <c r="G21" s="29">
        <f t="shared" si="0"/>
        <v>-23122862</v>
      </c>
      <c r="H21" s="11" t="s">
        <v>4234</v>
      </c>
      <c r="J21" s="25"/>
      <c r="K21" s="172" t="s">
        <v>456</v>
      </c>
      <c r="L21" s="117">
        <v>244000</v>
      </c>
      <c r="M21" s="172"/>
      <c r="N21" s="113"/>
      <c r="O21" s="22"/>
      <c r="P21" t="s">
        <v>1119</v>
      </c>
      <c r="R21" s="115"/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185</v>
      </c>
      <c r="AK21" s="113">
        <f t="shared" ref="AK21:AK79" si="5">AH21*AJ21</f>
        <v>462500000</v>
      </c>
      <c r="AL21" s="99"/>
      <c r="AN21" s="96"/>
      <c r="AO21" s="99"/>
      <c r="AP21" s="173"/>
      <c r="AQ21" s="99"/>
      <c r="AR21" s="99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2" t="s">
        <v>732</v>
      </c>
      <c r="L22" s="117">
        <v>0</v>
      </c>
      <c r="M22" s="172" t="s">
        <v>757</v>
      </c>
      <c r="N22" s="113">
        <v>3000000</v>
      </c>
      <c r="O22" s="22"/>
      <c r="P22" s="173">
        <v>4300000</v>
      </c>
      <c r="Q22" s="96"/>
      <c r="R22" s="115"/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184</v>
      </c>
      <c r="AK22" s="113">
        <f t="shared" si="5"/>
        <v>1472000000</v>
      </c>
      <c r="AL22" s="99"/>
      <c r="AN22" s="96"/>
      <c r="AO22" s="99"/>
      <c r="AP22" s="173"/>
      <c r="AQ22" s="99"/>
      <c r="AR22" s="99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2" t="s">
        <v>919</v>
      </c>
      <c r="L23" s="117">
        <v>4800000</v>
      </c>
      <c r="M23" s="172" t="s">
        <v>4160</v>
      </c>
      <c r="N23" s="113">
        <f>-1*L19</f>
        <v>-49555660</v>
      </c>
      <c r="R23" s="115"/>
      <c r="S23" s="115" t="s">
        <v>25</v>
      </c>
      <c r="T23" s="115"/>
      <c r="U23" s="115"/>
      <c r="V23" s="115"/>
      <c r="W23" s="115"/>
      <c r="X23" s="115"/>
      <c r="Y23" s="115"/>
      <c r="AF23" s="99">
        <v>4</v>
      </c>
      <c r="AG23" s="113" t="s">
        <v>4061</v>
      </c>
      <c r="AH23" s="113">
        <v>-79552</v>
      </c>
      <c r="AI23" s="99">
        <v>1</v>
      </c>
      <c r="AJ23" s="99">
        <f t="shared" si="4"/>
        <v>183</v>
      </c>
      <c r="AK23" s="113">
        <f t="shared" si="5"/>
        <v>-14558016</v>
      </c>
      <c r="AL23" s="99"/>
      <c r="AN23" s="96"/>
      <c r="AO23" s="99"/>
      <c r="AP23" s="99"/>
      <c r="AQ23" s="99" t="s">
        <v>25</v>
      </c>
      <c r="AR23" s="99"/>
      <c r="AT23" s="96"/>
      <c r="AU23" s="96"/>
      <c r="AV23" s="96"/>
      <c r="AW23" s="96"/>
      <c r="AX23" s="96"/>
      <c r="AY23" s="96"/>
      <c r="AZ23" s="96"/>
    </row>
    <row r="24" spans="1:52" ht="21" x14ac:dyDescent="0.3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2" t="s">
        <v>930</v>
      </c>
      <c r="L24" s="117">
        <v>0</v>
      </c>
      <c r="M24" s="172" t="s">
        <v>754</v>
      </c>
      <c r="N24" s="113">
        <v>500000</v>
      </c>
      <c r="P24" t="s">
        <v>25</v>
      </c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182</v>
      </c>
      <c r="AK24" s="113">
        <f t="shared" si="5"/>
        <v>30121000</v>
      </c>
      <c r="AL24" s="99"/>
      <c r="AN24" s="96"/>
      <c r="AO24" s="99"/>
      <c r="AP24" s="95">
        <f>SUM(AP7:AP23)</f>
        <v>34863546</v>
      </c>
      <c r="AQ24" s="99"/>
      <c r="AR24" s="184" t="s">
        <v>4272</v>
      </c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2" t="s">
        <v>1088</v>
      </c>
      <c r="L25" s="117">
        <f>65*P22</f>
        <v>279500000</v>
      </c>
      <c r="M25" s="172" t="s">
        <v>761</v>
      </c>
      <c r="N25" s="113">
        <v>1200000</v>
      </c>
      <c r="O25" t="s">
        <v>25</v>
      </c>
      <c r="R25" s="115"/>
      <c r="S25" s="115"/>
      <c r="T25" s="115"/>
      <c r="U25" s="115"/>
      <c r="W25" s="115"/>
      <c r="X25" s="115"/>
      <c r="Y25" s="115"/>
      <c r="Z25" s="115"/>
      <c r="AA25" s="115"/>
      <c r="AB25" s="115"/>
      <c r="AC25" s="115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170</v>
      </c>
      <c r="AK25" s="113">
        <f t="shared" si="5"/>
        <v>-4901155590</v>
      </c>
      <c r="AL25" s="99"/>
      <c r="AN25" s="96"/>
      <c r="AO25" s="99"/>
      <c r="AP25" s="99" t="s">
        <v>6</v>
      </c>
      <c r="AQ25" s="99"/>
      <c r="AR25" s="99"/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2" t="s">
        <v>4158</v>
      </c>
      <c r="L26" s="117">
        <v>-50000000</v>
      </c>
      <c r="M26" s="73"/>
      <c r="N26" s="113"/>
      <c r="O26" s="22"/>
      <c r="S26" s="26"/>
      <c r="W26" s="115"/>
      <c r="X26" s="115"/>
      <c r="Y26" s="115"/>
      <c r="Z26" s="115"/>
      <c r="AA26" s="115"/>
      <c r="AB26" s="115"/>
      <c r="AC26" s="115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164</v>
      </c>
      <c r="AK26" s="113">
        <f t="shared" si="5"/>
        <v>3034000000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2"/>
      <c r="L27" s="117"/>
      <c r="M27" s="172" t="s">
        <v>1088</v>
      </c>
      <c r="N27" s="113">
        <f>75*P22</f>
        <v>322500000</v>
      </c>
      <c r="P27" t="s">
        <v>25</v>
      </c>
      <c r="W27" s="115"/>
      <c r="X27" s="115"/>
      <c r="Y27" s="115"/>
      <c r="Z27" s="115"/>
      <c r="AA27" s="115"/>
      <c r="AB27" s="115"/>
      <c r="AC27" s="115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163</v>
      </c>
      <c r="AK27" s="113">
        <f t="shared" si="5"/>
        <v>-3023650000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2"/>
      <c r="L28" s="117"/>
      <c r="M28" s="172" t="s">
        <v>4215</v>
      </c>
      <c r="N28" s="113">
        <v>-20000000</v>
      </c>
      <c r="V28" s="26"/>
      <c r="W28" s="115"/>
      <c r="X28" s="115"/>
      <c r="Y28" s="115"/>
      <c r="Z28" s="115"/>
      <c r="AA28" s="115"/>
      <c r="AB28" s="115"/>
      <c r="AC28" s="115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162</v>
      </c>
      <c r="AK28" s="113">
        <f t="shared" si="5"/>
        <v>-10523682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2"/>
      <c r="L29" s="117"/>
      <c r="M29" s="172" t="s">
        <v>4216</v>
      </c>
      <c r="N29" s="113">
        <v>-50000000</v>
      </c>
      <c r="O29" s="96"/>
      <c r="P29" s="96"/>
      <c r="V29" s="26"/>
      <c r="W29" s="115"/>
      <c r="X29" s="115"/>
      <c r="Y29" s="115"/>
      <c r="Z29" s="115"/>
      <c r="AA29" s="115"/>
      <c r="AB29" s="115"/>
      <c r="AC29" s="115"/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157</v>
      </c>
      <c r="AK29" s="113">
        <f t="shared" si="5"/>
        <v>1004800000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99"/>
      <c r="L30" s="99"/>
      <c r="M30" s="172" t="s">
        <v>3893</v>
      </c>
      <c r="N30" s="113">
        <v>168</v>
      </c>
      <c r="O30" s="99" t="s">
        <v>939</v>
      </c>
      <c r="P30" s="99" t="s">
        <v>3934</v>
      </c>
      <c r="Q30" s="73"/>
      <c r="R30" s="112"/>
      <c r="S30" s="112"/>
      <c r="T30" s="112"/>
      <c r="V30" s="26"/>
      <c r="W30" s="115"/>
      <c r="X30" s="115"/>
      <c r="Y30" s="115"/>
      <c r="Z30" s="115"/>
      <c r="AA30" s="115"/>
      <c r="AB30" s="115"/>
      <c r="AC30" s="115"/>
      <c r="AD30" s="115"/>
      <c r="AF30" s="99">
        <v>11</v>
      </c>
      <c r="AG30" s="113" t="s">
        <v>4062</v>
      </c>
      <c r="AH30" s="113">
        <v>-170000</v>
      </c>
      <c r="AI30" s="99">
        <v>5</v>
      </c>
      <c r="AJ30" s="99">
        <f t="shared" si="4"/>
        <v>156</v>
      </c>
      <c r="AK30" s="113">
        <f t="shared" si="5"/>
        <v>-26520000</v>
      </c>
      <c r="AL30" s="99"/>
      <c r="AN30" s="96"/>
      <c r="AT30" s="96"/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99"/>
      <c r="L31" s="99"/>
      <c r="M31" s="172"/>
      <c r="N31" s="113"/>
      <c r="O31" s="99"/>
      <c r="P31" s="99"/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15"/>
      <c r="X31" s="115"/>
      <c r="Y31" s="115"/>
      <c r="Z31" s="115"/>
      <c r="AA31" s="115"/>
      <c r="AB31" s="115"/>
      <c r="AC31" s="115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151</v>
      </c>
      <c r="AK31" s="113">
        <f t="shared" si="5"/>
        <v>-951300000</v>
      </c>
      <c r="AL31" s="99"/>
      <c r="AN31" s="96"/>
      <c r="AT31" s="96"/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56"/>
      <c r="L32" s="117"/>
      <c r="M32" s="32"/>
      <c r="N32" s="113"/>
      <c r="O32" s="99"/>
      <c r="P32" s="99"/>
      <c r="Q32" s="173">
        <v>235083989</v>
      </c>
      <c r="R32" s="172" t="s">
        <v>4188</v>
      </c>
      <c r="S32" s="172">
        <v>21</v>
      </c>
      <c r="T32" s="172" t="s">
        <v>4280</v>
      </c>
      <c r="V32" s="26"/>
      <c r="W32" s="115"/>
      <c r="X32" s="115"/>
      <c r="Y32" s="115"/>
      <c r="Z32" s="115"/>
      <c r="AA32" s="115"/>
      <c r="AB32" s="115"/>
      <c r="AC32" s="115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150</v>
      </c>
      <c r="AK32" s="113">
        <f t="shared" si="5"/>
        <v>-7802250</v>
      </c>
      <c r="AL32" s="99"/>
      <c r="AN32" s="96"/>
      <c r="AT32" s="96"/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56"/>
      <c r="L33" s="117"/>
      <c r="M33" s="172" t="s">
        <v>4195</v>
      </c>
      <c r="N33" s="113">
        <f>O33*P33</f>
        <v>244127643.20000002</v>
      </c>
      <c r="O33" s="99">
        <v>1272824</v>
      </c>
      <c r="P33" s="99">
        <v>191.8</v>
      </c>
      <c r="Q33" s="173">
        <v>4999825</v>
      </c>
      <c r="R33" s="172" t="s">
        <v>4268</v>
      </c>
      <c r="S33" s="172">
        <f>S32-17</f>
        <v>4</v>
      </c>
      <c r="T33" s="172" t="s">
        <v>4298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134</v>
      </c>
      <c r="AK33" s="113">
        <f t="shared" si="5"/>
        <v>2682331600</v>
      </c>
      <c r="AL33" s="99"/>
      <c r="AN33" s="96"/>
      <c r="AT33" s="96"/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56"/>
      <c r="L34" s="117"/>
      <c r="M34" s="99" t="s">
        <v>4294</v>
      </c>
      <c r="N34" s="113">
        <f>O34*P34</f>
        <v>3771938.8000000003</v>
      </c>
      <c r="O34" s="99">
        <v>19666</v>
      </c>
      <c r="P34" s="99">
        <f>P33</f>
        <v>191.8</v>
      </c>
      <c r="Q34" s="173">
        <v>8725590</v>
      </c>
      <c r="R34" s="172" t="s">
        <v>4295</v>
      </c>
      <c r="S34" s="172">
        <f>S33-4</f>
        <v>0</v>
      </c>
      <c r="T34" s="172" t="s">
        <v>4299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134</v>
      </c>
      <c r="AK34" s="113">
        <f t="shared" si="5"/>
        <v>135938444</v>
      </c>
      <c r="AL34" s="99"/>
      <c r="AN34" s="96"/>
      <c r="AT34" s="9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358188786.24271059</v>
      </c>
      <c r="F35" s="3"/>
      <c r="G35" s="11"/>
      <c r="H35" s="11"/>
      <c r="K35" s="56"/>
      <c r="L35" s="117"/>
      <c r="M35" s="99"/>
      <c r="N35" s="113"/>
      <c r="O35" s="99"/>
      <c r="P35" s="99"/>
      <c r="Q35" s="173"/>
      <c r="R35" s="172"/>
      <c r="S35" s="172"/>
      <c r="T35" s="172"/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122</v>
      </c>
      <c r="AK35" s="113">
        <f t="shared" si="5"/>
        <v>43920000</v>
      </c>
      <c r="AL35" s="99"/>
      <c r="AN35" s="96"/>
      <c r="AT35" s="9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366196750.44670284</v>
      </c>
      <c r="F36" s="3"/>
      <c r="G36" s="11"/>
      <c r="H36" s="11"/>
      <c r="K36" s="56"/>
      <c r="L36" s="117"/>
      <c r="M36" s="99"/>
      <c r="N36" s="113"/>
      <c r="O36" s="189"/>
      <c r="P36" s="99"/>
      <c r="Q36" s="173"/>
      <c r="R36" s="172"/>
      <c r="S36" s="172"/>
      <c r="T36" s="172"/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120</v>
      </c>
      <c r="AK36" s="113">
        <f t="shared" si="5"/>
        <v>-42000000</v>
      </c>
      <c r="AL36" s="99"/>
      <c r="AN36" s="96"/>
      <c r="AT36" s="9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374373315.81956631</v>
      </c>
      <c r="F37" s="3"/>
      <c r="G37" s="11"/>
      <c r="H37" s="11"/>
      <c r="K37" s="56"/>
      <c r="L37" s="117"/>
      <c r="M37" s="99"/>
      <c r="N37" s="99"/>
      <c r="Q37" s="113">
        <f>SUM(N31:N35)-SUM(Q32:Q36)</f>
        <v>-909821.9999999702</v>
      </c>
      <c r="R37" s="112"/>
      <c r="S37" s="112"/>
      <c r="T37" s="112"/>
      <c r="U37" s="96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120</v>
      </c>
      <c r="AK37" s="113">
        <f t="shared" si="5"/>
        <v>120000</v>
      </c>
      <c r="AL37" s="99"/>
      <c r="AN37" s="96"/>
      <c r="AT37" s="96"/>
      <c r="AU37" s="96"/>
      <c r="AV37" s="96"/>
      <c r="AW37" s="96"/>
      <c r="AX37" s="96"/>
      <c r="AY37" s="96"/>
      <c r="AZ37" s="96"/>
    </row>
    <row r="38" spans="1:5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382721938.80352634</v>
      </c>
      <c r="F38" s="3"/>
      <c r="G38" s="11"/>
      <c r="H38" s="11"/>
      <c r="K38" s="99"/>
      <c r="L38" s="99"/>
      <c r="M38" s="73" t="s">
        <v>4278</v>
      </c>
      <c r="N38" s="117">
        <v>-1000000</v>
      </c>
      <c r="R38" t="s">
        <v>25</v>
      </c>
      <c r="T38" t="s">
        <v>25</v>
      </c>
      <c r="U38" s="96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119</v>
      </c>
      <c r="AK38" s="113">
        <f t="shared" si="5"/>
        <v>3999590000</v>
      </c>
      <c r="AL38" s="99"/>
      <c r="AN38" s="96"/>
      <c r="AT38" s="96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391246145.81384128</v>
      </c>
      <c r="F39" s="3"/>
      <c r="G39" s="11"/>
      <c r="H39" s="11"/>
      <c r="K39" s="99"/>
      <c r="L39" s="99"/>
      <c r="M39" s="73"/>
      <c r="N39" s="117"/>
      <c r="O39" s="96" t="s">
        <v>25</v>
      </c>
      <c r="Q39" t="s">
        <v>25</v>
      </c>
      <c r="R39" t="s">
        <v>25</v>
      </c>
      <c r="T39" t="s">
        <v>25</v>
      </c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4063</v>
      </c>
      <c r="AH39" s="113">
        <v>-15600000</v>
      </c>
      <c r="AI39" s="99">
        <v>3</v>
      </c>
      <c r="AJ39" s="99">
        <f t="shared" si="4"/>
        <v>115</v>
      </c>
      <c r="AK39" s="113">
        <f t="shared" si="5"/>
        <v>-1794000000</v>
      </c>
      <c r="AL39" s="99"/>
      <c r="AN39" s="96"/>
      <c r="AT39" s="96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399949534.64670491</v>
      </c>
      <c r="F40" s="3"/>
      <c r="G40" s="11"/>
      <c r="H40" s="11"/>
      <c r="K40" s="99"/>
      <c r="L40" s="99"/>
      <c r="M40" s="172" t="s">
        <v>1156</v>
      </c>
      <c r="N40" s="117">
        <v>14908</v>
      </c>
      <c r="O40" s="96" t="s">
        <v>25</v>
      </c>
      <c r="P40" t="s">
        <v>25</v>
      </c>
      <c r="Q40" t="s">
        <v>25</v>
      </c>
      <c r="S40" t="s">
        <v>25</v>
      </c>
      <c r="T40" t="s">
        <v>951</v>
      </c>
      <c r="U40">
        <v>6.3E-3</v>
      </c>
      <c r="V40"/>
      <c r="W40" s="115"/>
      <c r="X40" s="115"/>
      <c r="Y40" s="115"/>
      <c r="Z40" s="115"/>
      <c r="AA40" s="115"/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112</v>
      </c>
      <c r="AK40" s="113">
        <f t="shared" si="5"/>
        <v>840000000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408835775.91539168</v>
      </c>
      <c r="F41" s="3"/>
      <c r="G41" s="11"/>
      <c r="H41" s="11"/>
      <c r="K41" s="99"/>
      <c r="L41" s="99"/>
      <c r="M41" s="172" t="s">
        <v>1157</v>
      </c>
      <c r="N41" s="117">
        <v>5282</v>
      </c>
      <c r="O41" s="96"/>
      <c r="Q41">
        <f>O33+O34-O42-O43</f>
        <v>1017560</v>
      </c>
      <c r="S41" t="s">
        <v>25</v>
      </c>
      <c r="T41" t="s">
        <v>61</v>
      </c>
      <c r="U41">
        <v>4.8999999999999998E-3</v>
      </c>
      <c r="V41"/>
      <c r="W41" s="115"/>
      <c r="X41" s="115"/>
      <c r="Y41" s="115"/>
      <c r="Z41" s="115"/>
      <c r="AA41" s="115" t="s">
        <v>25</v>
      </c>
      <c r="AB41" s="115"/>
      <c r="AC41" s="115"/>
      <c r="AD41" s="115"/>
      <c r="AF41" s="99">
        <v>22</v>
      </c>
      <c r="AG41" s="113" t="s">
        <v>4064</v>
      </c>
      <c r="AH41" s="113">
        <v>-98000</v>
      </c>
      <c r="AI41" s="99">
        <v>1</v>
      </c>
      <c r="AJ41" s="99">
        <f t="shared" si="4"/>
        <v>108</v>
      </c>
      <c r="AK41" s="113">
        <f t="shared" si="5"/>
        <v>-10584000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417908614.51520973</v>
      </c>
      <c r="F42" s="3"/>
      <c r="G42" s="11"/>
      <c r="H42" s="11"/>
      <c r="K42" s="172"/>
      <c r="L42" s="117"/>
      <c r="M42" s="172" t="s">
        <v>4196</v>
      </c>
      <c r="N42" s="113">
        <f>-O42*P33</f>
        <v>-35009637.600000001</v>
      </c>
      <c r="O42" s="99">
        <v>182532</v>
      </c>
      <c r="P42" s="99">
        <f>P33</f>
        <v>191.8</v>
      </c>
      <c r="T42" t="s">
        <v>6</v>
      </c>
      <c r="U42">
        <f>U40+U41</f>
        <v>1.12E-2</v>
      </c>
      <c r="AB42" t="s">
        <v>25</v>
      </c>
      <c r="AC42" t="s">
        <v>25</v>
      </c>
      <c r="AF42" s="99">
        <v>23</v>
      </c>
      <c r="AG42" s="113" t="s">
        <v>4058</v>
      </c>
      <c r="AH42" s="113">
        <v>-26000000</v>
      </c>
      <c r="AI42" s="99">
        <v>0</v>
      </c>
      <c r="AJ42" s="99">
        <f t="shared" si="4"/>
        <v>107</v>
      </c>
      <c r="AK42" s="113">
        <f t="shared" si="5"/>
        <v>-2782000000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427171871.11783922</v>
      </c>
      <c r="F43" s="3"/>
      <c r="G43" s="11"/>
      <c r="H43" s="11"/>
      <c r="K43" s="172" t="s">
        <v>25</v>
      </c>
      <c r="L43" s="117"/>
      <c r="M43" s="172" t="s">
        <v>4197</v>
      </c>
      <c r="N43" s="113">
        <f>-O43*P43</f>
        <v>-17721936.400000002</v>
      </c>
      <c r="O43" s="99">
        <v>92398</v>
      </c>
      <c r="P43" s="99">
        <f>P42</f>
        <v>191.8</v>
      </c>
      <c r="R43" t="s">
        <v>25</v>
      </c>
      <c r="T43" t="s">
        <v>25</v>
      </c>
      <c r="V43"/>
      <c r="AF43" s="99">
        <v>24</v>
      </c>
      <c r="AG43" s="113" t="s">
        <v>4058</v>
      </c>
      <c r="AH43" s="113">
        <v>25000000</v>
      </c>
      <c r="AI43" s="99">
        <v>1</v>
      </c>
      <c r="AJ43" s="99">
        <f t="shared" si="4"/>
        <v>107</v>
      </c>
      <c r="AK43" s="113">
        <f t="shared" si="5"/>
        <v>2675000000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436629443.69564456</v>
      </c>
      <c r="F44" s="3"/>
      <c r="G44" s="11"/>
      <c r="H44" s="11"/>
      <c r="K44" s="172"/>
      <c r="L44" s="117"/>
      <c r="M44" s="172"/>
      <c r="N44" s="113"/>
      <c r="O44" s="96"/>
      <c r="P44" s="96"/>
      <c r="V44"/>
      <c r="AF44" s="99">
        <v>25</v>
      </c>
      <c r="AG44" s="113" t="s">
        <v>4059</v>
      </c>
      <c r="AH44" s="113">
        <v>110000</v>
      </c>
      <c r="AI44" s="99">
        <v>1</v>
      </c>
      <c r="AJ44" s="99">
        <f t="shared" si="4"/>
        <v>106</v>
      </c>
      <c r="AK44" s="113">
        <f t="shared" si="5"/>
        <v>11660000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446285309.07656044</v>
      </c>
      <c r="F45" s="3"/>
      <c r="G45" s="11"/>
      <c r="H45" s="11"/>
      <c r="K45" s="172" t="s">
        <v>598</v>
      </c>
      <c r="L45" s="113">
        <f>SUM(L16:L38)</f>
        <v>285122862</v>
      </c>
      <c r="M45" s="172"/>
      <c r="N45" s="113">
        <f>SUM(N16:N44)</f>
        <v>403386526.40000004</v>
      </c>
      <c r="O45" t="s">
        <v>25</v>
      </c>
      <c r="V45"/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105</v>
      </c>
      <c r="AK45" s="113">
        <f t="shared" si="5"/>
        <v>39900000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456143524.53016472</v>
      </c>
      <c r="F46" s="3"/>
      <c r="G46" s="11"/>
      <c r="H46" s="11"/>
      <c r="K46" s="172" t="s">
        <v>599</v>
      </c>
      <c r="L46" s="113">
        <f>L16+L17+L21</f>
        <v>267202</v>
      </c>
      <c r="M46" s="172"/>
      <c r="N46" s="113">
        <f>N16+N17+N24</f>
        <v>-7193645</v>
      </c>
      <c r="V46"/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98</v>
      </c>
      <c r="AK46" s="113">
        <f t="shared" si="5"/>
        <v>44100000</v>
      </c>
      <c r="AL46" s="99"/>
      <c r="AO46" s="99" t="s">
        <v>1079</v>
      </c>
      <c r="AP46" s="99" t="s">
        <v>267</v>
      </c>
      <c r="AQ46" s="99" t="s">
        <v>180</v>
      </c>
      <c r="AR46" s="99"/>
    </row>
    <row r="47" spans="1:5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466208229.38556182</v>
      </c>
      <c r="F47" s="3"/>
      <c r="G47" s="11"/>
      <c r="H47" s="11"/>
      <c r="K47" s="56" t="s">
        <v>716</v>
      </c>
      <c r="L47" s="1">
        <f>L45+N7</f>
        <v>355122862</v>
      </c>
      <c r="M47" s="113"/>
      <c r="N47" s="172"/>
      <c r="O47" s="22"/>
      <c r="P47" t="s">
        <v>25</v>
      </c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92</v>
      </c>
      <c r="AK47" s="113">
        <f t="shared" si="5"/>
        <v>257600000</v>
      </c>
      <c r="AL47" s="99"/>
      <c r="AO47" s="99">
        <v>1</v>
      </c>
      <c r="AP47" s="173">
        <v>5000000</v>
      </c>
      <c r="AQ47" s="99" t="s">
        <v>4162</v>
      </c>
      <c r="AR47" s="99" t="s">
        <v>4200</v>
      </c>
    </row>
    <row r="48" spans="1:5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476483646.68171477</v>
      </c>
      <c r="F48" s="3"/>
      <c r="G48" s="11"/>
      <c r="H48" s="11" t="s">
        <v>611</v>
      </c>
      <c r="M48" t="s">
        <v>4282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91</v>
      </c>
      <c r="AK48" s="113">
        <f t="shared" si="5"/>
        <v>-136500000</v>
      </c>
      <c r="AL48" s="99"/>
      <c r="AO48" s="99">
        <v>2</v>
      </c>
      <c r="AP48" s="173">
        <v>13000000</v>
      </c>
      <c r="AQ48" s="99" t="s">
        <v>4173</v>
      </c>
      <c r="AR48" s="99" t="s">
        <v>4201</v>
      </c>
    </row>
    <row r="49" spans="1:51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486974084.8508752</v>
      </c>
      <c r="F49" s="3"/>
      <c r="G49" s="11"/>
      <c r="H49" s="11"/>
      <c r="M49" s="25" t="s">
        <v>4119</v>
      </c>
      <c r="O49" t="s">
        <v>25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91</v>
      </c>
      <c r="AK49" s="113">
        <f t="shared" si="5"/>
        <v>277550000</v>
      </c>
      <c r="AL49" s="99"/>
      <c r="AO49" s="99">
        <v>3</v>
      </c>
      <c r="AP49" s="173">
        <v>-168093</v>
      </c>
      <c r="AQ49" s="99" t="s">
        <v>4188</v>
      </c>
      <c r="AR49" s="99" t="s">
        <v>4202</v>
      </c>
    </row>
    <row r="50" spans="1:51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497683939.43577409</v>
      </c>
      <c r="F50" s="51"/>
      <c r="G50" s="11"/>
      <c r="H50" s="11"/>
      <c r="M50" s="25" t="s">
        <v>4087</v>
      </c>
      <c r="P50" t="s">
        <v>25</v>
      </c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88</v>
      </c>
      <c r="AK50" s="113">
        <f t="shared" si="5"/>
        <v>-730365856</v>
      </c>
      <c r="AL50" s="99"/>
      <c r="AO50" s="99"/>
      <c r="AP50" s="173"/>
      <c r="AQ50" s="99"/>
      <c r="AR50" s="99"/>
    </row>
    <row r="51" spans="1:51" ht="30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508617694.84124976</v>
      </c>
      <c r="F51" s="3"/>
      <c r="G51" s="11"/>
      <c r="H51" s="11"/>
      <c r="M51" s="181" t="s">
        <v>4123</v>
      </c>
      <c r="Q51" s="115"/>
      <c r="R51" s="115"/>
      <c r="S51" s="115"/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86</v>
      </c>
      <c r="AK51" s="113">
        <f t="shared" si="5"/>
        <v>430000000</v>
      </c>
      <c r="AL51" s="99"/>
      <c r="AO51" s="99"/>
      <c r="AP51" s="173"/>
      <c r="AQ51" s="99"/>
      <c r="AR51" s="99"/>
    </row>
    <row r="52" spans="1:51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519779926.12100261</v>
      </c>
      <c r="F52" s="3"/>
      <c r="G52" s="11"/>
      <c r="H52" s="11"/>
      <c r="K52" s="3"/>
      <c r="L52" s="11" t="s">
        <v>304</v>
      </c>
      <c r="M52" s="122"/>
      <c r="N52" s="96"/>
      <c r="P52" s="115"/>
      <c r="Q52" s="190"/>
      <c r="R52" s="190"/>
      <c r="S52" s="115"/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72</v>
      </c>
      <c r="AK52" s="113">
        <f t="shared" si="5"/>
        <v>-6480000</v>
      </c>
      <c r="AL52" s="99"/>
      <c r="AO52" s="99"/>
      <c r="AP52" s="173"/>
      <c r="AQ52" s="99"/>
      <c r="AR52" s="99"/>
    </row>
    <row r="53" spans="1:51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531175300.80017978</v>
      </c>
      <c r="F53" s="3"/>
      <c r="G53" s="11"/>
      <c r="H53" s="11"/>
      <c r="K53" s="1" t="s">
        <v>305</v>
      </c>
      <c r="L53" s="1">
        <v>70000</v>
      </c>
      <c r="M53" s="122"/>
      <c r="N53" s="96" t="s">
        <v>25</v>
      </c>
      <c r="P53" s="115"/>
      <c r="Q53" s="190"/>
      <c r="R53" s="190"/>
      <c r="S53" s="115"/>
      <c r="AB53" t="s">
        <v>25</v>
      </c>
      <c r="AF53" s="99">
        <v>34</v>
      </c>
      <c r="AG53" s="113" t="s">
        <v>4060</v>
      </c>
      <c r="AH53" s="113">
        <v>5600000</v>
      </c>
      <c r="AI53" s="99">
        <v>4</v>
      </c>
      <c r="AJ53" s="99">
        <f t="shared" si="4"/>
        <v>71</v>
      </c>
      <c r="AK53" s="113">
        <f t="shared" si="5"/>
        <v>397600000</v>
      </c>
      <c r="AL53" s="99"/>
      <c r="AO53" s="99"/>
      <c r="AP53" s="173"/>
      <c r="AQ53" s="99"/>
      <c r="AR53" s="99"/>
    </row>
    <row r="54" spans="1:51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542808580.73450804</v>
      </c>
      <c r="F54" s="3"/>
      <c r="G54" s="11"/>
      <c r="H54" s="11"/>
      <c r="K54" s="1" t="s">
        <v>321</v>
      </c>
      <c r="L54" s="1">
        <v>100000</v>
      </c>
      <c r="M54" s="122"/>
      <c r="P54" s="115"/>
      <c r="Q54" s="115"/>
      <c r="R54" s="115"/>
      <c r="S54" s="115"/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67</v>
      </c>
      <c r="AK54" s="113">
        <f t="shared" si="5"/>
        <v>50250000</v>
      </c>
      <c r="AL54" s="99"/>
      <c r="AO54" s="99"/>
      <c r="AP54" s="173"/>
      <c r="AQ54" s="99"/>
      <c r="AR54" s="99"/>
    </row>
    <row r="55" spans="1:51" ht="18.75" x14ac:dyDescent="0.3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554684624.00670612</v>
      </c>
      <c r="F55" s="3"/>
      <c r="G55" s="11"/>
      <c r="H55" s="11"/>
      <c r="K55" s="1" t="s">
        <v>306</v>
      </c>
      <c r="L55" s="1">
        <v>80000</v>
      </c>
      <c r="M55" s="122"/>
      <c r="P55" s="115"/>
      <c r="Q55" s="115"/>
      <c r="R55" s="115"/>
      <c r="S55" s="115"/>
      <c r="AF55" s="175">
        <v>36</v>
      </c>
      <c r="AG55" s="174" t="s">
        <v>3997</v>
      </c>
      <c r="AH55" s="174">
        <v>-4242000</v>
      </c>
      <c r="AI55" s="175">
        <v>2</v>
      </c>
      <c r="AJ55" s="175">
        <f t="shared" si="4"/>
        <v>65</v>
      </c>
      <c r="AK55" s="174">
        <f t="shared" si="5"/>
        <v>-275730000</v>
      </c>
      <c r="AL55" s="175" t="s">
        <v>4069</v>
      </c>
      <c r="AO55" s="99"/>
      <c r="AP55" s="173">
        <f>SUM(AP47:AP53)</f>
        <v>17831907</v>
      </c>
      <c r="AQ55" s="99"/>
      <c r="AR55" s="183" t="s">
        <v>4206</v>
      </c>
    </row>
    <row r="56" spans="1:51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566808386.86092329</v>
      </c>
      <c r="F56" s="3"/>
      <c r="G56" s="11"/>
      <c r="H56" s="11"/>
      <c r="K56" s="31" t="s">
        <v>307</v>
      </c>
      <c r="L56" s="1">
        <v>150000</v>
      </c>
      <c r="M56" s="96"/>
      <c r="P56" s="115"/>
      <c r="Q56" s="115"/>
      <c r="R56" s="115"/>
      <c r="S56" s="115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63</v>
      </c>
      <c r="AK56" s="113">
        <f t="shared" si="5"/>
        <v>258300000</v>
      </c>
      <c r="AL56" s="99"/>
      <c r="AO56" s="99"/>
      <c r="AP56" s="99" t="s">
        <v>6</v>
      </c>
      <c r="AQ56" s="99"/>
      <c r="AR56" s="99"/>
    </row>
    <row r="57" spans="1:51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579184925.67596567</v>
      </c>
      <c r="F57" s="3"/>
      <c r="G57" s="11"/>
      <c r="H57" s="11"/>
      <c r="K57" s="31" t="s">
        <v>308</v>
      </c>
      <c r="L57" s="1">
        <v>300000</v>
      </c>
      <c r="M57" s="96"/>
      <c r="P57" s="115"/>
      <c r="Q57" s="115"/>
      <c r="R57" s="115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63</v>
      </c>
      <c r="AK57" s="113">
        <f t="shared" si="5"/>
        <v>258300000</v>
      </c>
      <c r="AL57" s="99"/>
    </row>
    <row r="58" spans="1:51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591819398.97808707</v>
      </c>
      <c r="F58" s="3"/>
      <c r="G58" s="11"/>
      <c r="H58" s="11"/>
      <c r="K58" s="31" t="s">
        <v>309</v>
      </c>
      <c r="L58" s="1">
        <v>100000</v>
      </c>
      <c r="M58" s="96"/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62</v>
      </c>
      <c r="AK58" s="113">
        <f t="shared" si="5"/>
        <v>48980000</v>
      </c>
      <c r="AL58" s="99"/>
    </row>
    <row r="59" spans="1:51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604717069.49413705</v>
      </c>
      <c r="F59" s="3"/>
      <c r="G59" s="11"/>
      <c r="H59" s="11"/>
      <c r="K59" s="31" t="s">
        <v>310</v>
      </c>
      <c r="L59" s="1">
        <v>200000</v>
      </c>
      <c r="M59" s="96"/>
      <c r="P59" s="115"/>
      <c r="Q59" s="115"/>
      <c r="R59" s="115"/>
      <c r="S59" s="115"/>
      <c r="AF59" s="175">
        <v>40</v>
      </c>
      <c r="AG59" s="174" t="s">
        <v>4043</v>
      </c>
      <c r="AH59" s="174">
        <v>-3865000</v>
      </c>
      <c r="AI59" s="175">
        <v>6</v>
      </c>
      <c r="AJ59" s="175">
        <f t="shared" si="4"/>
        <v>47</v>
      </c>
      <c r="AK59" s="176">
        <f t="shared" si="5"/>
        <v>-181655000</v>
      </c>
      <c r="AL59" s="175" t="s">
        <v>4070</v>
      </c>
    </row>
    <row r="60" spans="1:51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617883306.24587286</v>
      </c>
      <c r="F60" s="3"/>
      <c r="G60" s="11"/>
      <c r="H60" s="11"/>
      <c r="K60" s="18" t="s">
        <v>311</v>
      </c>
      <c r="L60" s="18">
        <v>300000</v>
      </c>
      <c r="M60" s="96"/>
      <c r="P60" s="115"/>
      <c r="Q60" s="115"/>
      <c r="R60" s="115"/>
      <c r="S60" s="115"/>
      <c r="AF60" s="20">
        <v>41</v>
      </c>
      <c r="AG60" s="117" t="s">
        <v>4074</v>
      </c>
      <c r="AH60" s="117">
        <v>18800000</v>
      </c>
      <c r="AI60" s="20">
        <v>3</v>
      </c>
      <c r="AJ60" s="99">
        <f t="shared" si="4"/>
        <v>41</v>
      </c>
      <c r="AK60" s="113">
        <f t="shared" si="5"/>
        <v>770800000</v>
      </c>
      <c r="AL60" s="20"/>
    </row>
    <row r="61" spans="1:51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631323586.68626177</v>
      </c>
      <c r="F61" s="3"/>
      <c r="G61" s="11"/>
      <c r="H61" s="11"/>
      <c r="K61" s="32" t="s">
        <v>312</v>
      </c>
      <c r="L61" s="1">
        <v>200000</v>
      </c>
      <c r="M61" s="96"/>
      <c r="N61" s="96"/>
      <c r="O61" s="96"/>
      <c r="P61" s="115"/>
      <c r="Q61" s="115"/>
      <c r="R61" s="115"/>
      <c r="S61" s="115"/>
      <c r="AF61" s="20">
        <v>42</v>
      </c>
      <c r="AG61" s="117" t="s">
        <v>4091</v>
      </c>
      <c r="AH61" s="117">
        <v>500000</v>
      </c>
      <c r="AI61" s="20">
        <v>1</v>
      </c>
      <c r="AJ61" s="99">
        <f t="shared" si="4"/>
        <v>38</v>
      </c>
      <c r="AK61" s="113">
        <f t="shared" si="5"/>
        <v>19000000</v>
      </c>
      <c r="AL61" s="20"/>
    </row>
    <row r="62" spans="1:51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645043498.87861323</v>
      </c>
      <c r="F62" s="3"/>
      <c r="G62" s="11"/>
      <c r="H62" s="11"/>
      <c r="K62" s="32" t="s">
        <v>313</v>
      </c>
      <c r="L62" s="1">
        <v>20000</v>
      </c>
      <c r="M62" s="96"/>
      <c r="N62" s="96"/>
      <c r="O62" s="96"/>
      <c r="P62" s="115"/>
      <c r="Q62" s="115"/>
      <c r="R62" s="115"/>
      <c r="S62" s="115"/>
      <c r="AF62" s="20">
        <v>43</v>
      </c>
      <c r="AG62" s="117" t="s">
        <v>4095</v>
      </c>
      <c r="AH62" s="117">
        <v>200000</v>
      </c>
      <c r="AI62" s="20">
        <v>3</v>
      </c>
      <c r="AJ62" s="99">
        <f>AJ63+AI62</f>
        <v>37</v>
      </c>
      <c r="AK62" s="113">
        <f t="shared" si="5"/>
        <v>7400000</v>
      </c>
      <c r="AL62" s="20"/>
      <c r="AT62" s="99" t="s">
        <v>1136</v>
      </c>
      <c r="AU62" s="99" t="s">
        <v>4273</v>
      </c>
      <c r="AV62" s="99" t="s">
        <v>939</v>
      </c>
      <c r="AW62" s="99" t="s">
        <v>180</v>
      </c>
      <c r="AX62" s="69" t="s">
        <v>8</v>
      </c>
      <c r="AY62" s="69" t="s">
        <v>267</v>
      </c>
    </row>
    <row r="63" spans="1:51" x14ac:dyDescent="0.25">
      <c r="E63" s="26"/>
      <c r="K63" s="32" t="s">
        <v>315</v>
      </c>
      <c r="L63" s="1">
        <v>50000</v>
      </c>
      <c r="M63" s="96"/>
      <c r="N63" s="96"/>
      <c r="O63" s="96"/>
      <c r="P63" s="115"/>
      <c r="Q63" s="115"/>
      <c r="R63" s="115"/>
      <c r="S63" s="115"/>
      <c r="AF63" s="20">
        <v>44</v>
      </c>
      <c r="AG63" s="117" t="s">
        <v>4102</v>
      </c>
      <c r="AH63" s="117">
        <v>1000000</v>
      </c>
      <c r="AI63" s="20">
        <v>3</v>
      </c>
      <c r="AJ63" s="99">
        <f t="shared" si="4"/>
        <v>34</v>
      </c>
      <c r="AK63" s="113">
        <f t="shared" si="5"/>
        <v>34000000</v>
      </c>
      <c r="AL63" s="20"/>
      <c r="AT63" s="99">
        <v>1</v>
      </c>
      <c r="AU63" s="173" t="s">
        <v>4274</v>
      </c>
      <c r="AV63" s="99">
        <v>18290</v>
      </c>
      <c r="AW63" s="99" t="s">
        <v>4188</v>
      </c>
      <c r="AX63" s="99" t="s">
        <v>4275</v>
      </c>
      <c r="AY63" s="173">
        <v>3465500</v>
      </c>
    </row>
    <row r="64" spans="1:51" x14ac:dyDescent="0.25">
      <c r="E64" s="26"/>
      <c r="K64" s="32" t="s">
        <v>316</v>
      </c>
      <c r="L64" s="1">
        <v>90000</v>
      </c>
      <c r="M64" s="96"/>
      <c r="N64" s="96"/>
      <c r="O64" s="96"/>
      <c r="P64" s="115"/>
      <c r="Q64" s="115"/>
      <c r="R64" s="115"/>
      <c r="S64" s="115"/>
      <c r="AF64" s="20">
        <v>45</v>
      </c>
      <c r="AG64" s="117" t="s">
        <v>4114</v>
      </c>
      <c r="AH64" s="117">
        <v>1300000</v>
      </c>
      <c r="AI64" s="20">
        <v>0</v>
      </c>
      <c r="AJ64" s="99">
        <f>AJ65+AI64</f>
        <v>31</v>
      </c>
      <c r="AK64" s="113">
        <f t="shared" si="5"/>
        <v>40300000</v>
      </c>
      <c r="AL64" s="20"/>
      <c r="AT64" s="99">
        <v>2</v>
      </c>
      <c r="AU64" s="173" t="s">
        <v>4274</v>
      </c>
      <c r="AV64" s="99">
        <v>24813</v>
      </c>
      <c r="AW64" s="99" t="s">
        <v>4268</v>
      </c>
      <c r="AX64" s="99" t="s">
        <v>4276</v>
      </c>
      <c r="AY64" s="173">
        <v>4995629</v>
      </c>
    </row>
    <row r="65" spans="1:51" x14ac:dyDescent="0.25">
      <c r="K65" s="32" t="s">
        <v>317</v>
      </c>
      <c r="L65" s="1">
        <v>50000</v>
      </c>
      <c r="M65" s="96"/>
      <c r="N65" s="96"/>
      <c r="O65" s="96"/>
      <c r="P65" s="115"/>
      <c r="Q65" s="115"/>
      <c r="R65" s="115"/>
      <c r="S65" s="115"/>
      <c r="AF65" s="20">
        <v>45</v>
      </c>
      <c r="AG65" s="117" t="s">
        <v>4114</v>
      </c>
      <c r="AH65" s="117">
        <v>995000</v>
      </c>
      <c r="AI65" s="20">
        <v>2</v>
      </c>
      <c r="AJ65" s="99">
        <f t="shared" ref="AJ65:AJ79" si="9">AJ66+AI65</f>
        <v>31</v>
      </c>
      <c r="AK65" s="113">
        <f t="shared" si="5"/>
        <v>30845000</v>
      </c>
      <c r="AL65" s="20"/>
      <c r="AT65" s="99">
        <v>3</v>
      </c>
      <c r="AU65" s="173" t="s">
        <v>4274</v>
      </c>
      <c r="AV65" s="99">
        <v>26189</v>
      </c>
      <c r="AW65" s="99" t="s">
        <v>4295</v>
      </c>
      <c r="AX65" s="99" t="s">
        <v>4296</v>
      </c>
      <c r="AY65" s="173">
        <v>5006890</v>
      </c>
    </row>
    <row r="66" spans="1:51" x14ac:dyDescent="0.25">
      <c r="K66" s="32" t="s">
        <v>327</v>
      </c>
      <c r="L66" s="1">
        <v>150000</v>
      </c>
      <c r="M66" s="96"/>
      <c r="N66" s="96"/>
      <c r="O66" s="96"/>
      <c r="P66" s="115"/>
      <c r="Q66" s="115"/>
      <c r="R66" s="115"/>
      <c r="S66" s="115"/>
      <c r="AF66" s="20">
        <v>46</v>
      </c>
      <c r="AG66" s="117" t="s">
        <v>4126</v>
      </c>
      <c r="AH66" s="117">
        <v>13000000</v>
      </c>
      <c r="AI66" s="20">
        <v>2</v>
      </c>
      <c r="AJ66" s="99">
        <f t="shared" si="9"/>
        <v>29</v>
      </c>
      <c r="AK66" s="113">
        <f t="shared" si="5"/>
        <v>377000000</v>
      </c>
      <c r="AL66" s="20"/>
      <c r="AT66" s="187"/>
      <c r="AU66" s="188" t="s">
        <v>4277</v>
      </c>
      <c r="AV66" s="187"/>
      <c r="AW66" s="187"/>
      <c r="AX66" s="187"/>
      <c r="AY66" s="188"/>
    </row>
    <row r="67" spans="1:51" x14ac:dyDescent="0.25">
      <c r="A67" t="s">
        <v>25</v>
      </c>
      <c r="F67" t="s">
        <v>310</v>
      </c>
      <c r="G67" t="s">
        <v>4106</v>
      </c>
      <c r="K67" s="32" t="s">
        <v>318</v>
      </c>
      <c r="L67" s="1">
        <v>15000</v>
      </c>
      <c r="N67" s="96"/>
      <c r="P67" s="115"/>
      <c r="Q67" s="115"/>
      <c r="R67" s="115"/>
      <c r="S67" s="115"/>
      <c r="T67" s="115"/>
      <c r="AF67" s="20">
        <v>47</v>
      </c>
      <c r="AG67" s="117" t="s">
        <v>4139</v>
      </c>
      <c r="AH67" s="117">
        <v>-3100000</v>
      </c>
      <c r="AI67" s="20">
        <v>3</v>
      </c>
      <c r="AJ67" s="99">
        <f t="shared" si="9"/>
        <v>27</v>
      </c>
      <c r="AK67" s="113">
        <f t="shared" si="5"/>
        <v>-83700000</v>
      </c>
      <c r="AL67" s="20"/>
      <c r="AT67" s="187"/>
      <c r="AU67" s="188" t="s">
        <v>4274</v>
      </c>
      <c r="AV67" s="187">
        <v>19666</v>
      </c>
      <c r="AW67" s="187" t="s">
        <v>4295</v>
      </c>
      <c r="AX67" s="187" t="s">
        <v>4297</v>
      </c>
      <c r="AY67" s="188"/>
    </row>
    <row r="68" spans="1:51" x14ac:dyDescent="0.25">
      <c r="F68" t="s">
        <v>4110</v>
      </c>
      <c r="G68" t="s">
        <v>4105</v>
      </c>
      <c r="K68" s="32" t="s">
        <v>319</v>
      </c>
      <c r="L68" s="1">
        <v>20000</v>
      </c>
      <c r="N68" s="96"/>
      <c r="P68" s="115"/>
      <c r="Q68" s="55"/>
      <c r="R68" s="191"/>
      <c r="S68" s="115"/>
      <c r="T68" s="115"/>
      <c r="AF68" s="20">
        <v>48</v>
      </c>
      <c r="AG68" s="117" t="s">
        <v>4154</v>
      </c>
      <c r="AH68" s="117">
        <v>45640000</v>
      </c>
      <c r="AI68" s="20">
        <v>1</v>
      </c>
      <c r="AJ68" s="99">
        <f t="shared" si="9"/>
        <v>24</v>
      </c>
      <c r="AK68" s="113">
        <f t="shared" si="5"/>
        <v>1095360000</v>
      </c>
      <c r="AL68" s="20"/>
      <c r="AT68" s="187"/>
      <c r="AU68" s="188"/>
      <c r="AV68" s="187"/>
      <c r="AW68" s="187"/>
      <c r="AX68" s="187"/>
      <c r="AY68" s="188"/>
    </row>
    <row r="69" spans="1:51" x14ac:dyDescent="0.25">
      <c r="F69" t="s">
        <v>4111</v>
      </c>
      <c r="G69" t="s">
        <v>4107</v>
      </c>
      <c r="K69" s="32" t="s">
        <v>320</v>
      </c>
      <c r="L69" s="1">
        <v>40000</v>
      </c>
      <c r="N69" s="96"/>
      <c r="P69" s="115"/>
      <c r="Q69" s="55"/>
      <c r="R69" s="191"/>
      <c r="S69" s="115"/>
      <c r="T69" s="115"/>
      <c r="W69" s="115"/>
      <c r="AF69" s="20">
        <v>49</v>
      </c>
      <c r="AG69" s="117" t="s">
        <v>4164</v>
      </c>
      <c r="AH69" s="117">
        <v>33500000</v>
      </c>
      <c r="AI69" s="20">
        <v>1</v>
      </c>
      <c r="AJ69" s="99">
        <f t="shared" si="9"/>
        <v>23</v>
      </c>
      <c r="AK69" s="113">
        <f t="shared" si="5"/>
        <v>770500000</v>
      </c>
      <c r="AL69" s="20"/>
      <c r="AT69" s="99"/>
      <c r="AU69" s="173"/>
      <c r="AV69" s="99"/>
      <c r="AW69" s="99"/>
      <c r="AX69" s="99"/>
      <c r="AY69" s="173"/>
    </row>
    <row r="70" spans="1:51" ht="18.75" x14ac:dyDescent="0.3">
      <c r="G70" t="s">
        <v>4108</v>
      </c>
      <c r="K70" s="32" t="s">
        <v>322</v>
      </c>
      <c r="L70" s="1">
        <v>150000</v>
      </c>
      <c r="N70" s="96"/>
      <c r="P70" s="115"/>
      <c r="Q70" s="26"/>
      <c r="R70" s="191"/>
      <c r="S70" s="115"/>
      <c r="T70" s="115"/>
      <c r="W70" s="165"/>
      <c r="AF70" s="20">
        <v>50</v>
      </c>
      <c r="AG70" s="117" t="s">
        <v>4172</v>
      </c>
      <c r="AH70" s="117">
        <v>12000000</v>
      </c>
      <c r="AI70" s="20">
        <v>1</v>
      </c>
      <c r="AJ70" s="99">
        <f t="shared" si="9"/>
        <v>22</v>
      </c>
      <c r="AK70" s="117">
        <f t="shared" si="5"/>
        <v>264000000</v>
      </c>
      <c r="AL70" s="20"/>
      <c r="AT70" s="99"/>
      <c r="AU70" s="173"/>
      <c r="AV70" s="99"/>
      <c r="AW70" s="183"/>
      <c r="AX70" s="99"/>
      <c r="AY70" s="173"/>
    </row>
    <row r="71" spans="1:51" x14ac:dyDescent="0.25">
      <c r="G71" t="s">
        <v>4109</v>
      </c>
      <c r="K71" s="32" t="s">
        <v>324</v>
      </c>
      <c r="L71" s="1">
        <v>75000</v>
      </c>
      <c r="P71" s="115"/>
      <c r="Q71" s="55"/>
      <c r="R71" s="191"/>
      <c r="S71" s="122"/>
      <c r="W71" s="115"/>
      <c r="X71" s="115"/>
      <c r="Y71" s="115"/>
      <c r="Z71" s="115"/>
      <c r="AA71" s="115"/>
      <c r="AB71" s="115"/>
      <c r="AC71" s="115"/>
      <c r="AD71" s="115"/>
      <c r="AF71" s="20">
        <v>51</v>
      </c>
      <c r="AG71" s="117" t="s">
        <v>4178</v>
      </c>
      <c r="AH71" s="117">
        <v>15500000</v>
      </c>
      <c r="AI71" s="20">
        <v>4</v>
      </c>
      <c r="AJ71" s="99">
        <f t="shared" si="9"/>
        <v>21</v>
      </c>
      <c r="AK71" s="117">
        <f t="shared" si="5"/>
        <v>325500000</v>
      </c>
      <c r="AL71" s="20"/>
      <c r="AT71" s="99"/>
      <c r="AU71" s="99"/>
      <c r="AV71" s="99"/>
      <c r="AW71" s="99"/>
      <c r="AX71" s="99"/>
      <c r="AY71" s="173"/>
    </row>
    <row r="72" spans="1:51" x14ac:dyDescent="0.25">
      <c r="G72" t="s">
        <v>4113</v>
      </c>
      <c r="K72" s="32" t="s">
        <v>314</v>
      </c>
      <c r="L72" s="1">
        <v>140000</v>
      </c>
      <c r="P72" s="115"/>
      <c r="Q72" s="55"/>
      <c r="R72" s="191"/>
      <c r="S72" s="115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4182</v>
      </c>
      <c r="AH72" s="117">
        <v>150000</v>
      </c>
      <c r="AI72" s="20">
        <v>1</v>
      </c>
      <c r="AJ72" s="99">
        <f t="shared" si="9"/>
        <v>17</v>
      </c>
      <c r="AK72" s="117">
        <f t="shared" si="5"/>
        <v>2550000</v>
      </c>
      <c r="AL72" s="20"/>
    </row>
    <row r="73" spans="1:51" x14ac:dyDescent="0.25">
      <c r="G73" t="s">
        <v>4112</v>
      </c>
      <c r="K73" s="2" t="s">
        <v>478</v>
      </c>
      <c r="L73" s="3">
        <v>1083333</v>
      </c>
      <c r="P73" s="115"/>
      <c r="Q73" s="122"/>
      <c r="R73" s="115"/>
      <c r="S73" s="115"/>
      <c r="W73" s="115"/>
      <c r="X73" s="128"/>
      <c r="Y73" s="115"/>
      <c r="Z73" s="115"/>
      <c r="AA73" s="115"/>
      <c r="AB73" s="128"/>
      <c r="AC73" s="115"/>
      <c r="AD73" s="115"/>
      <c r="AF73" s="185">
        <v>53</v>
      </c>
      <c r="AG73" s="186" t="s">
        <v>4188</v>
      </c>
      <c r="AH73" s="186">
        <v>29000000</v>
      </c>
      <c r="AI73" s="185">
        <v>15</v>
      </c>
      <c r="AJ73" s="185">
        <f t="shared" si="9"/>
        <v>16</v>
      </c>
      <c r="AK73" s="186">
        <f t="shared" si="5"/>
        <v>464000000</v>
      </c>
      <c r="AL73" s="185" t="s">
        <v>4207</v>
      </c>
    </row>
    <row r="74" spans="1:51" x14ac:dyDescent="0.25">
      <c r="K74" s="2"/>
      <c r="L74" s="3"/>
      <c r="P74" s="128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4237</v>
      </c>
      <c r="AH74" s="117">
        <v>-130000</v>
      </c>
      <c r="AI74" s="20">
        <v>1</v>
      </c>
      <c r="AJ74" s="99">
        <f t="shared" si="9"/>
        <v>1</v>
      </c>
      <c r="AK74" s="117">
        <f t="shared" si="5"/>
        <v>-130000</v>
      </c>
      <c r="AL74" s="20" t="s">
        <v>4239</v>
      </c>
    </row>
    <row r="75" spans="1:51" x14ac:dyDescent="0.25">
      <c r="K75" s="2"/>
      <c r="L75" s="3"/>
      <c r="P75" s="128"/>
      <c r="W75" s="115"/>
      <c r="X75" s="128"/>
      <c r="Y75" s="115"/>
      <c r="Z75" s="115"/>
      <c r="AA75" s="115"/>
      <c r="AB75" s="128"/>
      <c r="AC75" s="115"/>
      <c r="AD75" s="115"/>
      <c r="AF75" s="20"/>
      <c r="AG75" s="117"/>
      <c r="AH75" s="117">
        <v>0</v>
      </c>
      <c r="AI75" s="20"/>
      <c r="AJ75" s="99">
        <f t="shared" si="9"/>
        <v>0</v>
      </c>
      <c r="AK75" s="117">
        <f>AH75*AJ75</f>
        <v>0</v>
      </c>
      <c r="AL75" s="20"/>
    </row>
    <row r="76" spans="1:51" x14ac:dyDescent="0.25">
      <c r="K76" s="2" t="s">
        <v>6</v>
      </c>
      <c r="L76" s="3">
        <f>SUM(L53:L74)</f>
        <v>3383333</v>
      </c>
      <c r="P76" s="115"/>
      <c r="Q76" s="22"/>
      <c r="W76" s="115"/>
      <c r="X76" s="128"/>
      <c r="Y76" s="115"/>
      <c r="Z76" s="115"/>
      <c r="AA76" s="115"/>
      <c r="AB76" s="128"/>
      <c r="AC76" s="115"/>
      <c r="AD76" s="115"/>
      <c r="AF76" s="20"/>
      <c r="AG76" s="117"/>
      <c r="AH76" s="117"/>
      <c r="AI76" s="20"/>
      <c r="AJ76" s="99">
        <f t="shared" si="9"/>
        <v>0</v>
      </c>
      <c r="AK76" s="117">
        <f t="shared" si="5"/>
        <v>0</v>
      </c>
      <c r="AL76" s="20"/>
    </row>
    <row r="77" spans="1:51" x14ac:dyDescent="0.25">
      <c r="K77" s="2" t="s">
        <v>328</v>
      </c>
      <c r="L77" s="3">
        <f>L76/30</f>
        <v>112777.76666666666</v>
      </c>
      <c r="W77" s="115"/>
      <c r="X77" s="128"/>
      <c r="Y77" s="115"/>
      <c r="Z77" s="115"/>
      <c r="AA77" s="115"/>
      <c r="AB77" s="128"/>
      <c r="AC77" s="115"/>
      <c r="AD77" s="115"/>
      <c r="AF77" s="20"/>
      <c r="AG77" s="117"/>
      <c r="AH77" s="117"/>
      <c r="AI77" s="20"/>
      <c r="AJ77" s="99">
        <f t="shared" si="9"/>
        <v>0</v>
      </c>
      <c r="AK77" s="117">
        <f t="shared" si="5"/>
        <v>0</v>
      </c>
      <c r="AL77" s="20"/>
    </row>
    <row r="78" spans="1:51" x14ac:dyDescent="0.25">
      <c r="O78" s="115"/>
      <c r="W78" s="115"/>
      <c r="X78" s="115"/>
      <c r="Y78" s="115"/>
      <c r="Z78" s="115"/>
      <c r="AA78" s="115"/>
      <c r="AB78" s="115"/>
      <c r="AC78" s="115"/>
      <c r="AD78" s="115"/>
      <c r="AF78" s="99"/>
      <c r="AG78" s="113"/>
      <c r="AH78" s="113"/>
      <c r="AI78" s="99"/>
      <c r="AJ78" s="99">
        <f t="shared" si="9"/>
        <v>0</v>
      </c>
      <c r="AK78" s="117">
        <f t="shared" si="5"/>
        <v>0</v>
      </c>
      <c r="AL78" s="99"/>
    </row>
    <row r="79" spans="1:51" x14ac:dyDescent="0.25">
      <c r="O79" s="115"/>
      <c r="W79" s="115"/>
      <c r="X79" s="115"/>
      <c r="Y79" s="115"/>
      <c r="Z79" s="115"/>
      <c r="AA79" s="115"/>
      <c r="AB79" s="115"/>
      <c r="AC79" s="115"/>
      <c r="AD79" s="115"/>
      <c r="AF79" s="99"/>
      <c r="AG79" s="113"/>
      <c r="AH79" s="113"/>
      <c r="AI79" s="99"/>
      <c r="AJ79" s="99">
        <f t="shared" si="9"/>
        <v>0</v>
      </c>
      <c r="AK79" s="117">
        <f t="shared" si="5"/>
        <v>0</v>
      </c>
      <c r="AL79" s="99"/>
    </row>
    <row r="80" spans="1:51" x14ac:dyDescent="0.25">
      <c r="W80" s="115"/>
      <c r="X80" s="115"/>
      <c r="Y80" s="115"/>
      <c r="AC80" s="115"/>
      <c r="AD80" s="115"/>
      <c r="AF80" s="99"/>
      <c r="AG80" s="99"/>
      <c r="AH80" s="95">
        <f>SUM(AH20:AH78)</f>
        <v>222461899</v>
      </c>
      <c r="AI80" s="99"/>
      <c r="AJ80" s="99"/>
      <c r="AK80" s="95">
        <f>SUM(AK20:AK79)</f>
        <v>11025161650</v>
      </c>
      <c r="AL80" s="95">
        <f>AK80*AL83/31</f>
        <v>7113007.5161290327</v>
      </c>
    </row>
    <row r="81" spans="11:50" x14ac:dyDescent="0.25">
      <c r="X81" s="115"/>
      <c r="Y81" s="115"/>
      <c r="AC81" s="115"/>
      <c r="AD81" s="115"/>
      <c r="AF81" s="99"/>
      <c r="AG81" s="99"/>
      <c r="AH81" s="99" t="s">
        <v>4066</v>
      </c>
      <c r="AI81" s="99"/>
      <c r="AJ81" s="99"/>
      <c r="AK81" s="99" t="s">
        <v>284</v>
      </c>
      <c r="AL81" s="99" t="s">
        <v>917</v>
      </c>
    </row>
    <row r="82" spans="11:50" x14ac:dyDescent="0.25">
      <c r="X82" s="115"/>
      <c r="Y82" s="115"/>
      <c r="AC82" s="115"/>
      <c r="AD82" s="115"/>
      <c r="AF82" s="99"/>
      <c r="AG82" s="99"/>
      <c r="AH82" s="99"/>
      <c r="AI82" s="99"/>
      <c r="AJ82" s="99"/>
      <c r="AK82" s="99"/>
      <c r="AL82" s="99"/>
      <c r="AU82" t="s">
        <v>25</v>
      </c>
    </row>
    <row r="83" spans="11:50" x14ac:dyDescent="0.25">
      <c r="K83" s="48" t="s">
        <v>789</v>
      </c>
      <c r="L83" s="48" t="s">
        <v>476</v>
      </c>
      <c r="AF83" s="99"/>
      <c r="AG83" s="99"/>
      <c r="AH83" s="99"/>
      <c r="AI83" s="99"/>
      <c r="AJ83" s="99"/>
      <c r="AK83" s="99" t="s">
        <v>4067</v>
      </c>
      <c r="AL83" s="99">
        <v>0.02</v>
      </c>
    </row>
    <row r="84" spans="11:50" x14ac:dyDescent="0.25">
      <c r="K84" s="47">
        <v>700000</v>
      </c>
      <c r="L84" s="48" t="s">
        <v>1041</v>
      </c>
      <c r="AF84" s="99"/>
      <c r="AG84" s="99"/>
      <c r="AH84" s="99"/>
      <c r="AI84" s="99"/>
      <c r="AJ84" s="99"/>
      <c r="AK84" s="99"/>
      <c r="AL84" s="99"/>
      <c r="AX84" t="s">
        <v>25</v>
      </c>
    </row>
    <row r="85" spans="11:50" x14ac:dyDescent="0.25">
      <c r="K85" s="47">
        <v>500000</v>
      </c>
      <c r="L85" s="48" t="s">
        <v>479</v>
      </c>
      <c r="AF85" s="99"/>
      <c r="AG85" s="99" t="s">
        <v>4068</v>
      </c>
      <c r="AH85" s="95">
        <f>AH80+AL80</f>
        <v>229574906.51612905</v>
      </c>
      <c r="AI85" s="99"/>
      <c r="AJ85" s="99"/>
      <c r="AK85" s="99"/>
      <c r="AL85" s="99"/>
      <c r="AT85" t="s">
        <v>25</v>
      </c>
    </row>
    <row r="86" spans="11:50" x14ac:dyDescent="0.25">
      <c r="K86" s="47">
        <v>180000</v>
      </c>
      <c r="L86" s="48" t="s">
        <v>558</v>
      </c>
      <c r="AG86" t="s">
        <v>4071</v>
      </c>
      <c r="AH86" s="114">
        <f>SUM(N33:N36)</f>
        <v>247899582.00000003</v>
      </c>
    </row>
    <row r="87" spans="11:50" x14ac:dyDescent="0.25">
      <c r="K87" s="47">
        <v>0</v>
      </c>
      <c r="L87" s="48" t="s">
        <v>785</v>
      </c>
      <c r="AG87" t="s">
        <v>4145</v>
      </c>
      <c r="AH87" s="114">
        <f>AH86-AH80</f>
        <v>25437683.00000003</v>
      </c>
      <c r="AS87" s="96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4">
        <f>AL80</f>
        <v>7113007.5161290327</v>
      </c>
      <c r="AS88" s="96" t="s">
        <v>25</v>
      </c>
    </row>
    <row r="89" spans="11:50" x14ac:dyDescent="0.25">
      <c r="K89" s="47">
        <v>500000</v>
      </c>
      <c r="L89" s="48" t="s">
        <v>787</v>
      </c>
      <c r="AG89" t="s">
        <v>4072</v>
      </c>
      <c r="AH89" s="114">
        <f>AH86-AH85</f>
        <v>18324675.483870983</v>
      </c>
      <c r="AO89" t="s">
        <v>25</v>
      </c>
      <c r="AT89" t="s">
        <v>25</v>
      </c>
    </row>
    <row r="90" spans="11:50" x14ac:dyDescent="0.25">
      <c r="K90" s="47">
        <v>75000</v>
      </c>
      <c r="L90" s="48" t="s">
        <v>788</v>
      </c>
    </row>
    <row r="91" spans="11:50" x14ac:dyDescent="0.25">
      <c r="K91" s="47">
        <v>0</v>
      </c>
      <c r="L91" s="48" t="s">
        <v>790</v>
      </c>
      <c r="AR91" s="96" t="s">
        <v>25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96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1105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AgentBased</vt:lpstr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2018-10-14T06:51:36Z</dcterms:modified>
</cp:coreProperties>
</file>