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L36" i="18" l="1"/>
  <c r="AJ97" i="18" l="1"/>
  <c r="T82" i="18"/>
  <c r="S37" i="18"/>
  <c r="S38" i="18" s="1"/>
  <c r="S39" i="18" s="1"/>
  <c r="R104" i="18"/>
  <c r="R103" i="18"/>
  <c r="R102" i="18"/>
  <c r="AJ139" i="18"/>
  <c r="P25" i="18"/>
  <c r="N25" i="18" s="1"/>
  <c r="D39" i="51"/>
  <c r="L22" i="18" s="1"/>
  <c r="S40" i="18" l="1"/>
  <c r="W49" i="18" l="1"/>
  <c r="X49" i="18"/>
  <c r="P30" i="18" l="1"/>
  <c r="N30" i="18" s="1"/>
  <c r="P23" i="18"/>
  <c r="N23" i="18" s="1"/>
  <c r="N47" i="18"/>
  <c r="M75" i="18" l="1"/>
  <c r="P28" i="18" l="1"/>
  <c r="N28" i="18" s="1"/>
  <c r="C2" i="51" l="1"/>
  <c r="H2" i="51" s="1"/>
  <c r="B2" i="51"/>
  <c r="G33" i="48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B27" i="51"/>
  <c r="C27" i="51"/>
  <c r="H28" i="51"/>
  <c r="D2" i="51"/>
  <c r="R10" i="49"/>
  <c r="S10" i="49"/>
  <c r="R9" i="49"/>
  <c r="H33" i="51" l="1"/>
  <c r="D27" i="51"/>
  <c r="I2" i="51"/>
  <c r="I28" i="51" s="1"/>
  <c r="I33" i="51" s="1"/>
  <c r="S20" i="18"/>
  <c r="S21" i="18" s="1"/>
  <c r="P29" i="18" l="1"/>
  <c r="N29" i="18" s="1"/>
  <c r="Q42" i="18" s="1"/>
  <c r="R101" i="18" l="1"/>
  <c r="N51" i="18"/>
  <c r="N50" i="18" l="1"/>
  <c r="D108" i="50" l="1"/>
  <c r="P24" i="18" l="1"/>
  <c r="N49" i="18"/>
  <c r="C8" i="36" l="1"/>
  <c r="N44" i="18" l="1"/>
  <c r="R22" i="33" l="1"/>
  <c r="N22" i="33"/>
  <c r="C22" i="33"/>
  <c r="E22" i="33"/>
  <c r="F22" i="33"/>
  <c r="J22" i="33"/>
  <c r="AL96" i="18"/>
  <c r="AL95" i="18" s="1"/>
  <c r="AL94" i="18" l="1"/>
  <c r="AM95" i="18"/>
  <c r="AM96" i="18"/>
  <c r="B22" i="33"/>
  <c r="I22" i="33"/>
  <c r="L22" i="33"/>
  <c r="H22" i="33"/>
  <c r="D22" i="33"/>
  <c r="K22" i="33"/>
  <c r="G22" i="33"/>
  <c r="AL93" i="18" l="1"/>
  <c r="AM94" i="18"/>
  <c r="AL137" i="18"/>
  <c r="AL92" i="18" l="1"/>
  <c r="AM93" i="18"/>
  <c r="AM137" i="18"/>
  <c r="AL136" i="18"/>
  <c r="S22" i="18"/>
  <c r="S23" i="18" s="1"/>
  <c r="S24" i="18" s="1"/>
  <c r="P22" i="18"/>
  <c r="N22" i="18" s="1"/>
  <c r="N48" i="18"/>
  <c r="AL91" i="18" l="1"/>
  <c r="AM92" i="18"/>
  <c r="AL135" i="18"/>
  <c r="AM136" i="18"/>
  <c r="AL90" i="18" l="1"/>
  <c r="AM91" i="18"/>
  <c r="S25" i="18"/>
  <c r="AL134" i="18"/>
  <c r="AM135" i="18"/>
  <c r="S26" i="18" l="1"/>
  <c r="S27" i="18" s="1"/>
  <c r="S28" i="18" s="1"/>
  <c r="S29" i="18" s="1"/>
  <c r="S30" i="18" s="1"/>
  <c r="AL89" i="18"/>
  <c r="AM90" i="18"/>
  <c r="AL133" i="18"/>
  <c r="AM134" i="18"/>
  <c r="N75" i="18"/>
  <c r="AL88" i="18" l="1"/>
  <c r="AM89" i="18"/>
  <c r="AL132" i="18"/>
  <c r="AM133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87" i="18" l="1"/>
  <c r="AM88" i="18"/>
  <c r="AL131" i="18"/>
  <c r="AM132" i="18"/>
  <c r="D73" i="48"/>
  <c r="N24" i="18"/>
  <c r="AL86" i="18" l="1"/>
  <c r="AM87" i="18"/>
  <c r="AL130" i="18"/>
  <c r="AM131" i="18"/>
  <c r="N38" i="18"/>
  <c r="AL85" i="18" l="1"/>
  <c r="AM86" i="18"/>
  <c r="AL129" i="18"/>
  <c r="AM130" i="18"/>
  <c r="P56" i="18"/>
  <c r="AL84" i="18" l="1"/>
  <c r="AM85" i="18"/>
  <c r="AL128" i="18"/>
  <c r="AM129" i="18"/>
  <c r="AM84" i="18" l="1"/>
  <c r="AL83" i="18"/>
  <c r="AL127" i="18"/>
  <c r="AM128" i="18"/>
  <c r="N23" i="33"/>
  <c r="D23" i="33" s="1"/>
  <c r="AL82" i="18" l="1"/>
  <c r="AM83" i="18"/>
  <c r="AL126" i="18"/>
  <c r="AM127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1" i="18" l="1"/>
  <c r="AM82" i="18"/>
  <c r="AL125" i="18"/>
  <c r="AM126" i="18"/>
  <c r="P21" i="18"/>
  <c r="N21" i="18" s="1"/>
  <c r="B263" i="15"/>
  <c r="AJ143" i="18" l="1"/>
  <c r="AJ144" i="18" s="1"/>
  <c r="Q32" i="18"/>
  <c r="R100" i="18"/>
  <c r="AL80" i="18"/>
  <c r="AM80" i="18" s="1"/>
  <c r="AM81" i="18"/>
  <c r="AM125" i="18"/>
  <c r="AL124" i="18"/>
  <c r="S51" i="18"/>
  <c r="S52" i="18" s="1"/>
  <c r="AL123" i="18" l="1"/>
  <c r="AM124" i="18"/>
  <c r="S53" i="18"/>
  <c r="S54" i="18" s="1"/>
  <c r="AM123" i="18" l="1"/>
  <c r="AL122" i="18"/>
  <c r="P46" i="18"/>
  <c r="AM122" i="18" l="1"/>
  <c r="AL121" i="18"/>
  <c r="AL120" i="18" l="1"/>
  <c r="AM121" i="18"/>
  <c r="C267" i="20"/>
  <c r="AL119" i="18" l="1"/>
  <c r="AM120" i="18"/>
  <c r="B8" i="36"/>
  <c r="AL118" i="18" l="1"/>
  <c r="AM119" i="18"/>
  <c r="B10" i="36"/>
  <c r="AL117" i="18" l="1"/>
  <c r="AM118" i="18"/>
  <c r="S55" i="18"/>
  <c r="S56" i="18" s="1"/>
  <c r="S57" i="18" s="1"/>
  <c r="S58" i="18" s="1"/>
  <c r="S59" i="18" s="1"/>
  <c r="S60" i="18" s="1"/>
  <c r="S61" i="18" s="1"/>
  <c r="S62" i="18" s="1"/>
  <c r="S63" i="18" s="1"/>
  <c r="S64" i="18" l="1"/>
  <c r="S65" i="18" s="1"/>
  <c r="S66" i="18" s="1"/>
  <c r="S67" i="18" s="1"/>
  <c r="AL116" i="18"/>
  <c r="AM117" i="18"/>
  <c r="N25" i="33"/>
  <c r="N24" i="33"/>
  <c r="N21" i="33"/>
  <c r="N20" i="33"/>
  <c r="N19" i="33"/>
  <c r="N18" i="33"/>
  <c r="L18" i="33" s="1"/>
  <c r="N17" i="33"/>
  <c r="N9" i="33"/>
  <c r="N3" i="33"/>
  <c r="N4" i="33"/>
  <c r="S68" i="18" l="1"/>
  <c r="S69" i="18" s="1"/>
  <c r="S70" i="18" s="1"/>
  <c r="S71" i="18" s="1"/>
  <c r="AL115" i="18"/>
  <c r="AM116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L114" i="18" l="1"/>
  <c r="AM114" i="18" s="1"/>
  <c r="AM115" i="18"/>
  <c r="AC15" i="33"/>
  <c r="AM139" i="18" l="1"/>
  <c r="N16" i="33"/>
  <c r="AN139" i="18" l="1"/>
  <c r="AJ142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45" i="18" l="1"/>
  <c r="AJ146" i="18" s="1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45" i="20" l="1"/>
  <c r="K245" i="20"/>
  <c r="J245" i="20"/>
  <c r="K244" i="20"/>
  <c r="J244" i="20"/>
  <c r="I244" i="20"/>
  <c r="J243" i="20"/>
  <c r="K243" i="20"/>
  <c r="K242" i="20"/>
  <c r="I243" i="20"/>
  <c r="K241" i="20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6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AL77" i="18" l="1"/>
  <c r="AM78" i="18"/>
  <c r="N56" i="18"/>
  <c r="AL76" i="18" l="1"/>
  <c r="AM77" i="18"/>
  <c r="AL75" i="18" l="1"/>
  <c r="AM76" i="18"/>
  <c r="N45" i="18"/>
  <c r="AJ103" i="18" l="1"/>
  <c r="R99" i="18"/>
  <c r="Q74" i="18"/>
  <c r="AJ104" i="18"/>
  <c r="AL74" i="18"/>
  <c r="AM75" i="18"/>
  <c r="R108" i="18" l="1"/>
  <c r="U100" i="18" s="1"/>
  <c r="AL73" i="18"/>
  <c r="AM74" i="18"/>
  <c r="N81" i="18"/>
  <c r="S84" i="18" l="1"/>
  <c r="S85" i="18"/>
  <c r="S86" i="18"/>
  <c r="S87" i="18"/>
  <c r="N59" i="18" s="1"/>
  <c r="V38" i="18"/>
  <c r="X38" i="18" s="1"/>
  <c r="V40" i="18"/>
  <c r="V39" i="18"/>
  <c r="W38" i="18"/>
  <c r="V68" i="18"/>
  <c r="V71" i="18"/>
  <c r="V69" i="18"/>
  <c r="V70" i="18"/>
  <c r="V30" i="18"/>
  <c r="V29" i="18"/>
  <c r="V67" i="18"/>
  <c r="V28" i="18"/>
  <c r="V26" i="18"/>
  <c r="V27" i="18"/>
  <c r="V65" i="18"/>
  <c r="V66" i="18"/>
  <c r="V25" i="18"/>
  <c r="V64" i="18"/>
  <c r="V63" i="18"/>
  <c r="V62" i="18"/>
  <c r="V61" i="18"/>
  <c r="V60" i="18"/>
  <c r="V24" i="18"/>
  <c r="V59" i="18"/>
  <c r="V57" i="18"/>
  <c r="V58" i="18"/>
  <c r="V55" i="18"/>
  <c r="V56" i="18"/>
  <c r="V54" i="18"/>
  <c r="V21" i="18"/>
  <c r="V23" i="18"/>
  <c r="V50" i="18"/>
  <c r="V20" i="18"/>
  <c r="V22" i="18"/>
  <c r="V51" i="18"/>
  <c r="V52" i="18"/>
  <c r="V53" i="18"/>
  <c r="AL72" i="18"/>
  <c r="AM73" i="18"/>
  <c r="U85" i="18" l="1"/>
  <c r="V85" i="18" s="1"/>
  <c r="N34" i="18"/>
  <c r="L21" i="18" s="1"/>
  <c r="U86" i="18"/>
  <c r="V86" i="18" s="1"/>
  <c r="N58" i="18"/>
  <c r="X39" i="18"/>
  <c r="W39" i="18"/>
  <c r="W40" i="18"/>
  <c r="X40" i="18"/>
  <c r="W22" i="18"/>
  <c r="X22" i="18"/>
  <c r="W21" i="18"/>
  <c r="X21" i="18"/>
  <c r="W58" i="18"/>
  <c r="X58" i="18"/>
  <c r="W60" i="18"/>
  <c r="X60" i="18"/>
  <c r="W64" i="18"/>
  <c r="X64" i="18"/>
  <c r="X65" i="18"/>
  <c r="W65" i="18"/>
  <c r="W67" i="18"/>
  <c r="X67" i="18"/>
  <c r="W69" i="18"/>
  <c r="X69" i="18"/>
  <c r="W53" i="18"/>
  <c r="X53" i="18"/>
  <c r="W57" i="18"/>
  <c r="X57" i="18"/>
  <c r="W61" i="18"/>
  <c r="X61" i="18"/>
  <c r="W27" i="18"/>
  <c r="X27" i="18"/>
  <c r="W29" i="18"/>
  <c r="X29" i="18"/>
  <c r="W71" i="18"/>
  <c r="X71" i="18"/>
  <c r="W20" i="18"/>
  <c r="X20" i="18"/>
  <c r="W56" i="18"/>
  <c r="X56" i="18"/>
  <c r="W62" i="18"/>
  <c r="X62" i="18"/>
  <c r="W25" i="18"/>
  <c r="X25" i="18"/>
  <c r="W26" i="18"/>
  <c r="X26" i="18"/>
  <c r="X68" i="18"/>
  <c r="W68" i="18"/>
  <c r="W54" i="18"/>
  <c r="X54" i="18"/>
  <c r="W52" i="18"/>
  <c r="X52" i="18"/>
  <c r="W50" i="18"/>
  <c r="X50" i="18"/>
  <c r="W59" i="18"/>
  <c r="X59" i="18"/>
  <c r="W51" i="18"/>
  <c r="X51" i="18"/>
  <c r="W23" i="18"/>
  <c r="X23" i="18"/>
  <c r="W55" i="18"/>
  <c r="X55" i="18"/>
  <c r="X24" i="18"/>
  <c r="W24" i="18"/>
  <c r="W63" i="18"/>
  <c r="X63" i="18"/>
  <c r="W66" i="18"/>
  <c r="X66" i="18"/>
  <c r="W28" i="18"/>
  <c r="X28" i="18"/>
  <c r="X70" i="18"/>
  <c r="W70" i="18"/>
  <c r="W30" i="18"/>
  <c r="X30" i="18"/>
  <c r="AL71" i="18"/>
  <c r="AM72" i="18"/>
  <c r="AL70" i="18" l="1"/>
  <c r="AM71" i="18"/>
  <c r="AL69" i="18" l="1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L68" i="18" l="1"/>
  <c r="AM69" i="18"/>
  <c r="N2" i="33"/>
  <c r="AL67" i="18" l="1"/>
  <c r="AM68" i="18"/>
  <c r="I2" i="33"/>
  <c r="E2" i="33"/>
  <c r="J2" i="33"/>
  <c r="F2" i="33"/>
  <c r="K2" i="33"/>
  <c r="G2" i="33"/>
  <c r="D2" i="33"/>
  <c r="C2" i="33"/>
  <c r="H2" i="33"/>
  <c r="D73" i="45"/>
  <c r="AL66" i="18" l="1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L65" i="18" l="1"/>
  <c r="AM66" i="18"/>
  <c r="E45" i="14"/>
  <c r="AL64" i="18" l="1"/>
  <c r="AM65" i="18"/>
  <c r="E44" i="14"/>
  <c r="AM64" i="18" l="1"/>
  <c r="AL63" i="18"/>
  <c r="E43" i="14"/>
  <c r="AL62" i="18" l="1"/>
  <c r="AM63" i="18"/>
  <c r="E42" i="14"/>
  <c r="G42" i="14" s="1"/>
  <c r="AL61" i="18" l="1"/>
  <c r="AM62" i="18"/>
  <c r="E41" i="14"/>
  <c r="G41" i="14" s="1"/>
  <c r="AM61" i="18" l="1"/>
  <c r="AL60" i="18"/>
  <c r="E40" i="14"/>
  <c r="G40" i="14" s="1"/>
  <c r="AL59" i="18" l="1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M59" i="18" l="1"/>
  <c r="AL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L57" i="18" l="1"/>
  <c r="AM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L56" i="18" l="1"/>
  <c r="AM57" i="18"/>
  <c r="E36" i="14"/>
  <c r="G36" i="14" s="1"/>
  <c r="B105" i="13"/>
  <c r="B196" i="13" s="1"/>
  <c r="F105" i="13" l="1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M55" i="18" l="1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L53" i="18" l="1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L51" i="18"/>
  <c r="AM52" i="18"/>
  <c r="D27" i="48"/>
  <c r="E253" i="15"/>
  <c r="E252" i="15"/>
  <c r="G33" i="50" l="1"/>
  <c r="H33" i="50" s="1"/>
  <c r="I33" i="48"/>
  <c r="I2" i="50"/>
  <c r="I28" i="50" s="1"/>
  <c r="I33" i="50" s="1"/>
  <c r="D27" i="50"/>
  <c r="AL50" i="18"/>
  <c r="AM51" i="18"/>
  <c r="E251" i="15"/>
  <c r="E250" i="15"/>
  <c r="D171" i="20"/>
  <c r="AM50" i="18" l="1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L48" i="18" l="1"/>
  <c r="AM49" i="18"/>
  <c r="E30" i="14"/>
  <c r="G31" i="14"/>
  <c r="E248" i="15"/>
  <c r="AL47" i="18" l="1"/>
  <c r="AM48" i="18"/>
  <c r="E29" i="14"/>
  <c r="G30" i="14"/>
  <c r="E247" i="15"/>
  <c r="E246" i="15"/>
  <c r="AL46" i="18" l="1"/>
  <c r="AM47" i="18"/>
  <c r="E28" i="14"/>
  <c r="G29" i="14"/>
  <c r="E245" i="15"/>
  <c r="AM46" i="18" l="1"/>
  <c r="AL45" i="18"/>
  <c r="E27" i="14"/>
  <c r="G28" i="14"/>
  <c r="N15" i="33"/>
  <c r="E244" i="15"/>
  <c r="AL44" i="18" l="1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L43" i="18" l="1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M43" i="18" l="1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L41" i="18" l="1"/>
  <c r="AM42" i="18"/>
  <c r="E23" i="14"/>
  <c r="G24" i="14"/>
  <c r="H25" i="43"/>
  <c r="G2" i="43"/>
  <c r="G25" i="43" s="1"/>
  <c r="G30" i="43" s="1"/>
  <c r="H30" i="43" s="1"/>
  <c r="AM41" i="18" l="1"/>
  <c r="AL40" i="18"/>
  <c r="E22" i="14"/>
  <c r="G23" i="14"/>
  <c r="I2" i="43"/>
  <c r="I25" i="43" s="1"/>
  <c r="I30" i="43" s="1"/>
  <c r="D24" i="43"/>
  <c r="AL39" i="18" l="1"/>
  <c r="AM40" i="18"/>
  <c r="E21" i="14"/>
  <c r="E20" i="14" s="1"/>
  <c r="E19" i="14" s="1"/>
  <c r="E18" i="14" s="1"/>
  <c r="G22" i="14"/>
  <c r="E243" i="15"/>
  <c r="AM39" i="18" l="1"/>
  <c r="AL38" i="18"/>
  <c r="E242" i="15"/>
  <c r="AL37" i="18" l="1"/>
  <c r="AM38" i="18"/>
  <c r="J57" i="33"/>
  <c r="J55" i="33"/>
  <c r="J54" i="33"/>
  <c r="AL36" i="18" l="1"/>
  <c r="AM37" i="18"/>
  <c r="L57" i="33"/>
  <c r="E241" i="15"/>
  <c r="AM36" i="18" l="1"/>
  <c r="AL35" i="18"/>
  <c r="D168" i="20"/>
  <c r="AL34" i="18" l="1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L33" i="18" l="1"/>
  <c r="AM34" i="18"/>
  <c r="D252" i="15"/>
  <c r="F253" i="15"/>
  <c r="AL32" i="18" l="1"/>
  <c r="AM33" i="18"/>
  <c r="D251" i="15"/>
  <c r="F252" i="15"/>
  <c r="AL31" i="18" l="1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L30" i="18" l="1"/>
  <c r="AM31" i="18"/>
  <c r="D249" i="15"/>
  <c r="F250" i="15"/>
  <c r="L60" i="32"/>
  <c r="L48" i="32"/>
  <c r="AL29" i="18" l="1"/>
  <c r="AM30" i="18"/>
  <c r="F249" i="15"/>
  <c r="D248" i="15"/>
  <c r="AM29" i="18" l="1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L26" i="18" l="1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25" i="18" l="1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L24" i="18" l="1"/>
  <c r="AM25" i="18"/>
  <c r="E178" i="13"/>
  <c r="G179" i="13"/>
  <c r="D243" i="15"/>
  <c r="F244" i="15"/>
  <c r="AM24" i="18" l="1"/>
  <c r="AL23" i="18"/>
  <c r="E177" i="13"/>
  <c r="G178" i="13"/>
  <c r="F243" i="15"/>
  <c r="D242" i="15"/>
  <c r="AM23" i="18" l="1"/>
  <c r="AL22" i="18"/>
  <c r="E176" i="13"/>
  <c r="G177" i="13"/>
  <c r="F242" i="15"/>
  <c r="D241" i="15"/>
  <c r="D165" i="20"/>
  <c r="AL21" i="18" l="1"/>
  <c r="AL20" i="18" s="1"/>
  <c r="AM22" i="18"/>
  <c r="E175" i="13"/>
  <c r="G176" i="13"/>
  <c r="F241" i="15"/>
  <c r="D240" i="15"/>
  <c r="D164" i="20"/>
  <c r="AM21" i="18" l="1"/>
  <c r="AM20" i="18"/>
  <c r="AM97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AN97" i="18" l="1"/>
  <c r="AJ102" i="18" s="1"/>
  <c r="AJ106" i="18" s="1"/>
  <c r="E172" i="13"/>
  <c r="G173" i="13"/>
  <c r="D237" i="15"/>
  <c r="F238" i="15"/>
  <c r="D62" i="38"/>
  <c r="AJ105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13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2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3" i="18" l="1"/>
  <c r="L62" i="18"/>
  <c r="F22" i="18" s="1"/>
  <c r="E33" i="13"/>
  <c r="G34" i="13"/>
  <c r="I97" i="20"/>
  <c r="K97" i="20"/>
  <c r="J97" i="20"/>
  <c r="F108" i="15"/>
  <c r="C20" i="18"/>
  <c r="G20" i="14"/>
  <c r="G21" i="14"/>
  <c r="L64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84" i="18" l="1"/>
  <c r="V84" i="18" s="1"/>
  <c r="U87" i="18"/>
  <c r="V87" i="18" s="1"/>
</calcChain>
</file>

<file path=xl/sharedStrings.xml><?xml version="1.0" encoding="utf-8"?>
<sst xmlns="http://schemas.openxmlformats.org/spreadsheetml/2006/main" count="9590" uniqueCount="4534">
  <si>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</si>
  <si>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</si>
  <si>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</si>
  <si>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</si>
  <si>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</si>
  <si>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</si>
  <si>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</si>
  <si>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</si>
  <si>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</si>
  <si>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</si>
  <si>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</si>
  <si>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</si>
  <si>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</si>
  <si>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</si>
  <si>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</si>
  <si>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</si>
  <si>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</si>
  <si>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</si>
  <si>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</si>
  <si>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</si>
  <si>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</si>
  <si>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</si>
  <si>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</si>
  <si>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</si>
  <si>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</si>
  <si>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</si>
  <si>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</si>
  <si>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</si>
  <si>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</si>
  <si>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</si>
  <si>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</si>
  <si>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</si>
  <si>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</si>
  <si>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</si>
  <si>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</si>
  <si>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</si>
  <si>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</si>
  <si>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</si>
  <si>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</si>
  <si>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</si>
  <si>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</si>
  <si>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</si>
  <si>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</si>
  <si>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</si>
  <si>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</si>
  <si>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</si>
  <si>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</si>
  <si>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</si>
  <si>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</si>
  <si>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</si>
  <si>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</si>
  <si>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</si>
  <si>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</si>
  <si>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</si>
  <si>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</si>
  <si>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</si>
  <si>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</si>
  <si>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</si>
  <si>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</si>
  <si>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</si>
  <si>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</si>
  <si>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</si>
  <si>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</si>
  <si>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</si>
  <si>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</si>
  <si>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</si>
  <si>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</si>
  <si>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</si>
  <si>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</si>
  <si>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</si>
  <si>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</si>
  <si>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</si>
  <si>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</si>
  <si>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</si>
  <si>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</si>
  <si>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</si>
  <si>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</si>
  <si>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</si>
  <si>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</si>
  <si>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</si>
  <si>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</si>
  <si>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</si>
  <si>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</si>
  <si>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</si>
  <si>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</si>
  <si>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</si>
  <si>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</si>
  <si>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</si>
  <si>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</si>
  <si>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</si>
  <si>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</si>
  <si>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</si>
  <si>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</si>
  <si>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</si>
  <si>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</si>
  <si>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</si>
  <si>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</si>
  <si>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</si>
  <si>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</si>
  <si>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</si>
  <si>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</si>
  <si>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</si>
  <si>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</si>
  <si>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</si>
  <si>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</si>
  <si>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</si>
  <si>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</si>
  <si>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</si>
  <si>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</si>
  <si>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</si>
  <si>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</si>
  <si>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</si>
  <si>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</si>
  <si>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</si>
  <si>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</si>
  <si>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</si>
  <si>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</si>
  <si>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</si>
  <si>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</si>
  <si>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</si>
  <si>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</si>
  <si>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</si>
  <si>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</si>
  <si>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</si>
  <si>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</si>
  <si>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</si>
  <si>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</si>
  <si>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</si>
  <si>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</si>
  <si>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</si>
  <si>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</si>
  <si>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</si>
  <si>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</si>
  <si>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</si>
  <si>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</si>
  <si>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</si>
  <si>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</si>
  <si>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</si>
  <si>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</si>
  <si>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</si>
  <si>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</si>
  <si>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</si>
  <si>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</si>
  <si>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</si>
  <si>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</si>
  <si>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</si>
  <si>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</si>
  <si>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</si>
  <si>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</si>
  <si>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</si>
  <si>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</si>
  <si>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</si>
  <si>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</si>
  <si>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</si>
  <si>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</si>
  <si>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</si>
  <si>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</si>
  <si>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</si>
  <si>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</si>
  <si>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</si>
  <si>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</si>
  <si>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</si>
  <si>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</si>
  <si>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</si>
  <si>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</si>
  <si>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</si>
  <si>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</si>
  <si>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</si>
  <si>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</si>
  <si>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</si>
  <si>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</si>
  <si>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</si>
  <si>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</si>
  <si>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</si>
  <si>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</si>
  <si>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</si>
  <si>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</si>
  <si>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</si>
  <si>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</si>
  <si>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</si>
  <si>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</si>
  <si>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</si>
  <si>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</si>
  <si>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</si>
  <si>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</si>
  <si>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</si>
  <si>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</si>
  <si>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</si>
  <si>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</si>
  <si>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</si>
  <si>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</si>
  <si>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</si>
  <si>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</si>
  <si>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</si>
  <si>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</si>
  <si>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</si>
  <si>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</si>
  <si>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</si>
  <si>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</si>
  <si>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</si>
  <si>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</si>
  <si>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</si>
  <si>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</si>
  <si>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</si>
  <si>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</si>
  <si>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</si>
  <si>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</si>
  <si>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</si>
  <si>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</si>
  <si>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</si>
  <si>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</si>
  <si>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</si>
  <si>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</si>
  <si>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</si>
  <si>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</si>
  <si>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</si>
  <si>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</si>
  <si>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</si>
  <si>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</si>
  <si>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</si>
  <si>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</si>
  <si>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</si>
  <si>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</si>
  <si>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</si>
  <si>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</si>
  <si>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</si>
  <si>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</si>
  <si>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</si>
  <si>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</si>
  <si>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</si>
  <si>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</si>
  <si>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</si>
  <si>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</si>
  <si>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</si>
  <si>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</si>
  <si>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</si>
  <si>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</si>
  <si>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</si>
  <si>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</si>
  <si>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</si>
  <si>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</si>
  <si>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</si>
  <si>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</si>
  <si>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</si>
  <si>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</si>
  <si>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</si>
  <si>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</si>
  <si>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</si>
  <si>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</si>
  <si>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</si>
  <si>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</si>
  <si>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</si>
  <si>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</si>
  <si>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</si>
  <si>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</si>
  <si>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</si>
  <si>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</si>
  <si>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</si>
  <si>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</si>
  <si>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</si>
  <si>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</si>
  <si>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</si>
  <si>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</si>
  <si>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</si>
  <si>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</si>
  <si>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</si>
  <si>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</si>
  <si>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</si>
  <si>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</si>
  <si>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</si>
  <si>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</si>
  <si>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</si>
  <si>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</si>
  <si>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</si>
  <si>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</si>
  <si>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</si>
  <si>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</si>
  <si>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</si>
  <si>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</si>
  <si>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</si>
  <si>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</si>
  <si>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</si>
  <si>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</si>
  <si>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</si>
  <si>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</si>
  <si>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</si>
  <si>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</si>
  <si>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</si>
  <si>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</si>
  <si>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</si>
  <si>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</si>
  <si>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</si>
  <si>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</si>
  <si>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</si>
  <si>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</si>
  <si>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</si>
  <si>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</si>
  <si>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</si>
  <si>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</si>
  <si>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</si>
  <si>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</si>
  <si>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</si>
  <si>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</si>
  <si>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</si>
  <si>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</si>
  <si>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</si>
  <si>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</si>
  <si>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</si>
  <si>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</si>
  <si>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</si>
  <si>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</si>
  <si>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</si>
  <si>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</si>
  <si>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</si>
  <si>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</si>
  <si>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</si>
  <si>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</si>
  <si>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</si>
  <si>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</si>
  <si>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</si>
  <si>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</si>
  <si>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</si>
  <si>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</si>
  <si>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</si>
  <si>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</si>
  <si>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</si>
  <si>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</si>
  <si>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</si>
  <si>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</si>
  <si>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</si>
  <si>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</si>
  <si>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</si>
  <si>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</si>
  <si>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</si>
  <si>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</si>
  <si>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</si>
  <si>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</si>
  <si>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</si>
  <si>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</si>
  <si>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</si>
  <si>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</si>
  <si>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</si>
  <si>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</si>
  <si>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</si>
  <si>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</si>
  <si>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</si>
  <si>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</si>
  <si>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</si>
  <si>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</si>
  <si>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</si>
  <si>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</si>
  <si>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</si>
  <si>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</si>
  <si>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</si>
  <si>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</si>
  <si>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</si>
  <si>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</si>
  <si>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</si>
  <si>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</si>
  <si>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</si>
  <si>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</si>
  <si>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</si>
  <si>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</si>
  <si>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</si>
  <si>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</si>
  <si>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</si>
  <si>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</si>
  <si>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</si>
  <si>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</si>
  <si>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</si>
  <si>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</si>
  <si>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</si>
  <si>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</si>
  <si>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</si>
  <si>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</si>
  <si>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</si>
  <si>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</si>
  <si>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</si>
  <si>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</si>
  <si>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</si>
  <si>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</si>
  <si>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</si>
  <si>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</si>
  <si>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</si>
  <si>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</si>
  <si>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</si>
  <si>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</si>
  <si>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</si>
  <si>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</si>
  <si>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</si>
  <si>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</si>
  <si>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</si>
  <si>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</si>
  <si>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</si>
  <si>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</si>
  <si>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</si>
  <si>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</si>
  <si>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</si>
  <si>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</si>
  <si>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</si>
  <si>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</si>
  <si>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</si>
  <si>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</si>
  <si>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</si>
  <si>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</si>
  <si>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</si>
  <si>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</si>
  <si>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</si>
  <si>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</si>
  <si>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</si>
  <si>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</si>
  <si>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</si>
  <si>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</si>
  <si>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</si>
  <si>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</si>
  <si>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</si>
  <si>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</si>
  <si>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</si>
  <si>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</si>
  <si>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</si>
  <si>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</si>
  <si>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</si>
  <si>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</si>
  <si>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</si>
  <si>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</si>
  <si>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</si>
  <si>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</si>
  <si>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</si>
  <si>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</si>
  <si>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</si>
  <si>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</si>
  <si>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</si>
  <si>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</si>
  <si>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</si>
  <si>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</si>
  <si>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</si>
  <si>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</si>
  <si>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</si>
  <si>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</si>
  <si>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</si>
  <si>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</si>
  <si>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</si>
  <si>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</si>
  <si>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</si>
  <si>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</si>
  <si>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</si>
  <si>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</si>
  <si>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</si>
  <si>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</si>
  <si>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</si>
  <si>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</si>
  <si>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</si>
  <si>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</si>
  <si>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</si>
  <si>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</si>
  <si>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</si>
  <si>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</si>
  <si>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</si>
  <si>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</si>
  <si>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</si>
  <si>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</si>
  <si>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</si>
  <si>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</si>
  <si>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</si>
  <si>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</si>
  <si>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</si>
  <si>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</si>
  <si>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</si>
  <si>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</si>
  <si>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</si>
  <si>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</si>
  <si>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</si>
  <si>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</si>
  <si>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</si>
  <si>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</si>
  <si>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</si>
  <si>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</si>
  <si>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</si>
  <si>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</si>
  <si>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</si>
  <si>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</si>
  <si>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</si>
  <si>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</si>
  <si>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</si>
  <si>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</si>
  <si>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</si>
  <si>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</si>
  <si>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</si>
  <si>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</si>
  <si>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</si>
  <si>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</si>
  <si>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</si>
  <si>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</si>
  <si>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</si>
  <si>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</si>
  <si>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</si>
  <si>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</si>
  <si>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</si>
  <si>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</si>
  <si>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</si>
  <si>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</si>
  <si>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</si>
  <si>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</si>
  <si>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</si>
  <si>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</si>
  <si>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</si>
  <si>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</si>
  <si>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</si>
  <si>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</si>
  <si>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</si>
  <si>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</si>
  <si>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</si>
  <si>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</si>
  <si>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</si>
  <si>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</si>
  <si>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</si>
  <si>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</si>
  <si>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</si>
  <si>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</si>
  <si>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</si>
  <si>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</si>
  <si>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</si>
  <si>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</si>
  <si>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</si>
  <si>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</si>
  <si>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</si>
  <si>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</si>
  <si>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</si>
  <si>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</si>
  <si>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</si>
  <si>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</si>
  <si>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</si>
  <si>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</si>
  <si>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</si>
  <si>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</si>
  <si>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</si>
  <si>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</si>
  <si>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</si>
  <si>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</si>
  <si>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</si>
  <si>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</si>
  <si>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</si>
  <si>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</si>
  <si>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</si>
  <si>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</si>
  <si>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</si>
  <si>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</si>
  <si>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</si>
  <si>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</si>
  <si>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</si>
  <si>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</si>
  <si>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</si>
  <si>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</si>
  <si>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</si>
  <si>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</si>
  <si>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</si>
  <si>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</si>
  <si>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</si>
  <si>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</si>
  <si>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</si>
  <si>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</si>
  <si>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</si>
  <si>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</si>
  <si>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</si>
  <si>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</si>
  <si>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</si>
  <si>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</si>
  <si>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</si>
  <si>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</si>
  <si>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</si>
  <si>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</si>
  <si>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</si>
  <si>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</si>
  <si>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</si>
  <si>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</si>
  <si>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</si>
  <si>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</si>
  <si>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</si>
  <si>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</si>
  <si>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</si>
  <si>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</si>
  <si>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</si>
  <si>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</si>
  <si>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</si>
  <si>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</si>
  <si>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</si>
  <si>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</si>
  <si>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</si>
  <si>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</si>
  <si>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</si>
  <si>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</si>
  <si>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</si>
  <si>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</si>
  <si>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</si>
  <si>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</si>
  <si>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</si>
  <si>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</si>
  <si>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</si>
  <si>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</si>
  <si>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</si>
  <si>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</si>
  <si>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</si>
  <si>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</si>
  <si>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</si>
  <si>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</si>
  <si>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</si>
  <si>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</si>
  <si>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</si>
  <si>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</si>
  <si>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</si>
  <si>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</si>
  <si>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</si>
  <si>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</si>
  <si>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</si>
  <si>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</si>
  <si>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</si>
  <si>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</si>
  <si>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</si>
  <si>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</si>
  <si>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</si>
  <si>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</si>
  <si>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</si>
  <si>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</si>
  <si>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</si>
  <si>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</si>
  <si>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</si>
  <si>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</si>
  <si>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</si>
  <si>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</si>
  <si>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</si>
  <si>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</si>
  <si>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</si>
  <si>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</si>
  <si>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</si>
  <si>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</si>
  <si>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</si>
  <si>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</si>
  <si>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</si>
  <si>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</si>
  <si>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</si>
  <si>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</si>
  <si>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</si>
  <si>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</si>
  <si>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</si>
  <si>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</si>
  <si>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</si>
  <si>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</si>
  <si>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</si>
  <si>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</si>
  <si>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</si>
  <si>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</si>
  <si>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</si>
  <si>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</si>
  <si>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</si>
  <si>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</si>
  <si>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</si>
  <si>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</si>
  <si>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</si>
  <si>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</si>
  <si>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</si>
  <si>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</si>
  <si>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</si>
  <si>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</si>
  <si>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</si>
  <si>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</si>
  <si>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</si>
  <si>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</si>
  <si>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</si>
  <si>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</si>
  <si>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</si>
  <si>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</si>
  <si>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</si>
  <si>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</si>
  <si>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</si>
  <si>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</si>
  <si>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</si>
  <si>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</si>
  <si>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</si>
  <si>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</si>
  <si>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</si>
  <si>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</si>
  <si>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</si>
  <si>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</si>
  <si>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</si>
  <si>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</si>
  <si>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</si>
  <si>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</si>
  <si>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</si>
  <si>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</si>
  <si>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</si>
  <si>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</si>
  <si>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</si>
  <si>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</si>
  <si>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</si>
  <si>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</si>
  <si>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</si>
  <si>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</si>
  <si>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</si>
  <si>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</si>
  <si>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</si>
  <si>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</si>
  <si>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</si>
  <si>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</si>
  <si>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</si>
  <si>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</si>
  <si>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</si>
  <si>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</si>
  <si>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</si>
  <si>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</si>
  <si>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</si>
  <si>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</si>
  <si>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</si>
  <si>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</si>
  <si>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</si>
  <si>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</si>
  <si>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</si>
  <si>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</si>
  <si>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</si>
  <si>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</si>
  <si>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</si>
  <si>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</si>
  <si>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</si>
  <si>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</si>
  <si>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</si>
  <si>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</si>
  <si>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</si>
  <si>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</si>
  <si>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</si>
  <si>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</si>
  <si>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</si>
  <si>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</si>
  <si>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</si>
  <si>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</si>
  <si>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</si>
  <si>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</si>
  <si>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</si>
  <si>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</si>
  <si>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</si>
  <si>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</si>
  <si>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</si>
  <si>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</si>
  <si>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</si>
  <si>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</si>
  <si>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</si>
  <si>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</si>
  <si>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</si>
  <si>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</si>
  <si>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</si>
  <si>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</si>
  <si>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</si>
  <si>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</si>
  <si>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</si>
  <si>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</si>
  <si>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</si>
  <si>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</si>
  <si>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</si>
  <si>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</si>
  <si>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</si>
  <si>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</si>
  <si>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</si>
  <si>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</si>
  <si>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</si>
  <si>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</si>
  <si>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</si>
  <si>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</si>
  <si>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</si>
  <si>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</si>
  <si>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</si>
  <si>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</si>
  <si>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</si>
  <si>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</si>
  <si>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</si>
  <si>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</si>
  <si>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</si>
  <si>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</si>
  <si>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</si>
  <si>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</si>
  <si>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</si>
  <si>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</si>
  <si>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</si>
  <si>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</si>
  <si>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</si>
  <si>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</si>
  <si>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</si>
  <si>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</si>
  <si>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</si>
  <si>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</si>
  <si>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</si>
  <si>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</si>
  <si>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</si>
  <si>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</si>
  <si>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</si>
  <si>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</si>
  <si>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</si>
  <si>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</si>
  <si>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</si>
  <si>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</si>
  <si>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</si>
  <si>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</si>
  <si>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</si>
  <si>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</si>
  <si>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</si>
  <si>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</si>
  <si>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</si>
  <si>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</si>
  <si>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</si>
  <si>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</si>
  <si>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</si>
  <si>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</si>
  <si>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</si>
  <si>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</si>
  <si>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</si>
  <si>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</si>
  <si>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</si>
  <si>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</si>
  <si>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</si>
  <si>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</si>
  <si>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</si>
  <si>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</si>
  <si>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</si>
  <si>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</si>
  <si>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</si>
  <si>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</si>
  <si>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</si>
  <si>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</si>
  <si>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</si>
  <si>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</si>
  <si>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</si>
  <si>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</si>
  <si>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</si>
  <si>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</si>
  <si>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</si>
  <si>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</si>
  <si>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</si>
  <si>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</si>
  <si>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</si>
  <si>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</si>
  <si>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</si>
  <si>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</si>
  <si>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</si>
  <si>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</si>
  <si>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</si>
  <si>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</si>
  <si>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</si>
  <si>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</si>
  <si>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</si>
  <si>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</si>
  <si>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</si>
  <si>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</si>
  <si>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</si>
  <si>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</si>
  <si>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</si>
  <si>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</si>
  <si>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</si>
  <si>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</si>
  <si>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</si>
  <si>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</si>
  <si>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</si>
  <si>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</si>
  <si>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</si>
  <si>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</si>
  <si>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</si>
  <si>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</si>
  <si>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</si>
  <si>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</si>
  <si>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</si>
  <si>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</si>
  <si>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</si>
  <si>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</si>
  <si>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</si>
  <si>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</si>
  <si>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</si>
  <si>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</si>
  <si>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</si>
  <si>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</si>
  <si>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</si>
  <si>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</si>
  <si>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</si>
  <si>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</si>
  <si>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</si>
  <si>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</si>
  <si>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</si>
  <si>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</si>
  <si>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</si>
  <si>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</si>
  <si>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</si>
  <si>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</si>
  <si>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</si>
  <si>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</si>
  <si>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</si>
  <si>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</si>
  <si>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</si>
  <si>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</si>
  <si>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</si>
  <si>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</si>
  <si>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</si>
  <si>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</si>
  <si>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</si>
  <si>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</si>
  <si>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</si>
  <si>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</si>
  <si>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</si>
  <si>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</si>
  <si>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</si>
  <si>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</si>
  <si>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</si>
  <si>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</si>
  <si>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</si>
  <si>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</si>
  <si>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</si>
  <si>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</si>
  <si>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</si>
  <si>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</si>
  <si>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</si>
  <si>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</si>
  <si>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</si>
  <si>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</si>
  <si>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</si>
  <si>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</si>
  <si>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</si>
  <si>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</si>
  <si>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</si>
  <si>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</si>
  <si>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</si>
  <si>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</si>
  <si>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</si>
  <si>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</si>
  <si>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</si>
  <si>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</si>
  <si>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</si>
  <si>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</si>
  <si>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</si>
  <si>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</si>
  <si>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</si>
  <si>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</si>
  <si>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</si>
  <si>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</si>
  <si>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</si>
  <si>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</si>
  <si>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</si>
  <si>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</si>
  <si>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</si>
  <si>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</si>
  <si>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</si>
  <si>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</si>
  <si>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</si>
  <si>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</si>
  <si>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</si>
  <si>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</si>
  <si>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</si>
  <si>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</si>
  <si>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</si>
  <si>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</si>
  <si>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</si>
  <si>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</si>
  <si>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</si>
  <si>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</si>
  <si>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</si>
  <si>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</si>
  <si>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</si>
  <si>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</si>
  <si>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</si>
  <si>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</si>
  <si>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</si>
  <si>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</si>
  <si>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</si>
  <si>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</si>
  <si>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</si>
  <si>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</si>
  <si>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</si>
  <si>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</si>
  <si>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</si>
  <si>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</si>
  <si>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</si>
  <si>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</si>
  <si>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</si>
  <si>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</si>
  <si>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</si>
  <si>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</si>
  <si>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</si>
  <si>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</si>
  <si>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</si>
  <si>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</si>
  <si>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</si>
  <si>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</si>
  <si>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</si>
  <si>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</si>
  <si>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</si>
  <si>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</si>
  <si>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</si>
  <si>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</si>
  <si>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</si>
  <si>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</si>
  <si>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</si>
  <si>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</si>
  <si>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</si>
  <si>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</si>
  <si>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</si>
  <si>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</si>
  <si>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</si>
  <si>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</si>
  <si>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</si>
  <si>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</si>
  <si>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</si>
  <si>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</si>
  <si>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</si>
  <si>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</si>
  <si>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</si>
  <si>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</si>
  <si>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</si>
  <si>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</si>
  <si>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</si>
  <si>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</si>
  <si>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</si>
  <si>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</si>
  <si>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</si>
  <si>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</si>
  <si>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</si>
  <si>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</si>
  <si>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</si>
  <si>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</si>
  <si>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</si>
  <si>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</si>
  <si>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</si>
  <si>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</si>
  <si>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</si>
  <si>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</si>
  <si>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</si>
  <si>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</si>
  <si>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</si>
  <si>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</si>
  <si>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</si>
  <si>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</si>
  <si>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</si>
  <si>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</si>
  <si>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</si>
  <si>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</si>
  <si>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</si>
  <si>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</si>
  <si>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</si>
  <si>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</si>
  <si>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</si>
  <si>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</si>
  <si>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</si>
  <si>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</si>
  <si>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</si>
  <si>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</si>
  <si>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</si>
  <si>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</si>
  <si>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</si>
  <si>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</si>
  <si>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</si>
  <si>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</si>
  <si>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</si>
  <si>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</si>
  <si>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</si>
  <si>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</si>
  <si>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</si>
  <si>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</si>
  <si>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</si>
  <si>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</si>
  <si>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</si>
  <si>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</si>
  <si>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</si>
  <si>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</si>
  <si>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</si>
  <si>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</si>
  <si>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</si>
  <si>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</si>
  <si>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</si>
  <si>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</si>
  <si>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</si>
  <si>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</si>
  <si>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</si>
  <si>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</si>
  <si>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</si>
  <si>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</si>
  <si>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</si>
  <si>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</si>
  <si>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</si>
  <si>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</si>
  <si>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</si>
  <si>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</si>
  <si>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</si>
  <si>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</si>
  <si>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</si>
  <si>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</si>
  <si>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</si>
  <si>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</si>
  <si>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</si>
  <si>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</si>
  <si>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</si>
  <si>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</si>
  <si>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</si>
  <si>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</si>
  <si>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</si>
  <si>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</si>
  <si>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</si>
  <si>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</si>
  <si>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</si>
  <si>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</si>
  <si>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</si>
  <si>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</si>
  <si>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</si>
  <si>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</si>
  <si>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</si>
  <si>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</si>
  <si>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</si>
  <si>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</si>
  <si>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</si>
  <si>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</si>
  <si>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</si>
  <si>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</si>
  <si>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</si>
  <si>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</si>
  <si>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</si>
  <si>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</si>
  <si>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</si>
  <si>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</si>
  <si>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</si>
  <si>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</si>
  <si>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</si>
  <si>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</si>
  <si>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</si>
  <si>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</si>
  <si>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</si>
  <si>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</si>
  <si>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</si>
  <si>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</si>
  <si>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</si>
  <si>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</si>
  <si>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</si>
  <si>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</si>
  <si>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</si>
  <si>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</si>
  <si>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</si>
  <si>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</si>
  <si>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</si>
  <si>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</si>
  <si>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</si>
  <si>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</si>
  <si>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</si>
  <si>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</si>
  <si>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</si>
  <si>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</si>
  <si>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</si>
  <si>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</si>
  <si>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</si>
  <si>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</si>
  <si>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</si>
  <si>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</si>
  <si>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</si>
  <si>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</si>
  <si>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</si>
  <si>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</si>
  <si>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</si>
  <si>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</si>
  <si>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</si>
  <si>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</si>
  <si>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</si>
  <si>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</si>
  <si>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</si>
  <si>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</si>
  <si>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</si>
  <si>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</si>
  <si>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</si>
  <si>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</si>
  <si>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</si>
  <si>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</si>
  <si>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</si>
  <si>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</si>
  <si>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</si>
  <si>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</si>
  <si>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</si>
  <si>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</si>
  <si>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</si>
  <si>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</si>
  <si>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</si>
  <si>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</si>
  <si>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</si>
  <si>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</si>
  <si>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</si>
  <si>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</si>
  <si>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</si>
  <si>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</si>
  <si>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</si>
  <si>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</si>
  <si>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</si>
  <si>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</si>
  <si>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</si>
  <si>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</si>
  <si>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</si>
  <si>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</si>
  <si>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</si>
  <si>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</si>
  <si>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</si>
  <si>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</si>
  <si>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</si>
  <si>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</si>
  <si>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</si>
  <si>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</si>
  <si>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</si>
  <si>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</si>
  <si>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</si>
  <si>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</si>
  <si>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</si>
  <si>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</si>
  <si>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</si>
  <si>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</si>
  <si>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</si>
  <si>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</si>
  <si>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</si>
  <si>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</si>
  <si>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</si>
  <si>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</si>
  <si>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</si>
  <si>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</si>
  <si>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</si>
  <si>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</si>
  <si>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</si>
  <si>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</si>
  <si>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</si>
  <si>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</si>
  <si>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</si>
  <si>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</si>
  <si>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</si>
  <si>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</si>
  <si>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</si>
  <si>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</si>
  <si>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</si>
  <si>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</si>
  <si>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</si>
  <si>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</si>
  <si>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</si>
  <si>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</si>
  <si>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</si>
  <si>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</si>
  <si>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</si>
  <si>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</si>
  <si>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</si>
  <si>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</si>
  <si>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</si>
  <si>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</si>
  <si>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</si>
  <si>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</si>
  <si>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</si>
  <si>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</si>
  <si>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</si>
  <si>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</si>
  <si>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</si>
  <si>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</si>
  <si>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</si>
  <si>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</si>
  <si>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</si>
  <si>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</si>
  <si>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</si>
  <si>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</si>
  <si>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</si>
  <si>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</si>
  <si>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</si>
  <si>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</si>
  <si>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</si>
  <si>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</si>
  <si>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</si>
  <si>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</si>
  <si>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</si>
  <si>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</si>
  <si>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</si>
  <si>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</si>
  <si>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</si>
  <si>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</si>
  <si>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</si>
  <si>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</si>
  <si>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</si>
  <si>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</si>
  <si>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</si>
  <si>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</si>
  <si>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</si>
  <si>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</si>
  <si>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</si>
  <si>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</si>
  <si>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</si>
  <si>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</si>
  <si>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</si>
  <si>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</si>
  <si>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</si>
  <si>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</si>
  <si>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</si>
  <si>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</si>
  <si>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</si>
  <si>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</si>
  <si>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</si>
  <si>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</si>
  <si>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</si>
  <si>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</si>
  <si>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</si>
  <si>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</si>
  <si>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</si>
  <si>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</si>
  <si>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</si>
  <si>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</si>
  <si>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</si>
  <si>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</si>
  <si>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</si>
  <si>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</si>
  <si>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</si>
  <si>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</si>
  <si>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</si>
  <si>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</si>
  <si>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</si>
  <si>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</si>
  <si>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</si>
  <si>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</si>
  <si>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</si>
  <si>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</si>
  <si>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</si>
  <si>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</si>
  <si>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</si>
  <si>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</si>
  <si>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</si>
  <si>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</si>
  <si>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</si>
  <si>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</si>
  <si>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</si>
  <si>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</si>
  <si>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</si>
  <si>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</si>
  <si>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</si>
  <si>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</si>
  <si>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</si>
  <si>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</si>
  <si>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</si>
  <si>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</si>
  <si>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</si>
  <si>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</si>
  <si>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</si>
  <si>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</si>
  <si>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</si>
  <si>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</si>
  <si>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</si>
  <si>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</si>
  <si>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</si>
  <si>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</si>
  <si>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</si>
  <si>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</si>
  <si>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</si>
  <si>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</si>
  <si>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</si>
  <si>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</si>
  <si>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</si>
  <si>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</si>
  <si>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</si>
  <si>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</si>
  <si>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</si>
  <si>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</si>
  <si>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</si>
  <si>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</si>
  <si>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</si>
  <si>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</si>
  <si>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</si>
  <si>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</si>
  <si>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</si>
  <si>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</si>
  <si>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</si>
  <si>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</si>
  <si>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</si>
  <si>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</si>
  <si>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</si>
  <si>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</si>
  <si>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</si>
  <si>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</si>
  <si>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</si>
  <si>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</si>
  <si>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</si>
  <si>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</si>
  <si>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</si>
  <si>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</si>
  <si>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</si>
  <si>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</si>
  <si>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</si>
  <si>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</si>
  <si>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</si>
  <si>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</si>
  <si>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</si>
  <si>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</si>
  <si>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</si>
  <si>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</si>
  <si>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</si>
  <si>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</si>
  <si>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</si>
  <si>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</si>
  <si>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</si>
  <si>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</si>
  <si>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</si>
  <si>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</si>
  <si>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</si>
  <si>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</si>
  <si>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</si>
  <si>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</si>
  <si>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</si>
  <si>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</si>
  <si>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</si>
  <si>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</si>
  <si>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</si>
  <si>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</si>
  <si>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</si>
  <si>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</si>
  <si>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</si>
  <si>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</si>
  <si>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</si>
  <si>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</si>
  <si>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</si>
  <si>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</si>
  <si>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</si>
  <si>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</si>
  <si>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</si>
  <si>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</si>
  <si>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</si>
  <si>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</si>
  <si>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</si>
  <si>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</si>
  <si>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</si>
  <si>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</si>
  <si>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</si>
  <si>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</si>
  <si>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</si>
  <si>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</si>
  <si>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</si>
  <si>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</si>
  <si>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</si>
  <si>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</si>
  <si>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</si>
  <si>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</si>
  <si>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</si>
  <si>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</si>
  <si>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</si>
  <si>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</si>
  <si>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</si>
  <si>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</si>
  <si>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</si>
  <si>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</si>
  <si>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</si>
  <si>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</si>
  <si>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</si>
  <si>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</si>
  <si>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</si>
  <si>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</si>
  <si>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</si>
  <si>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</si>
  <si>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</si>
  <si>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</si>
  <si>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</si>
  <si>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</si>
  <si>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</si>
  <si>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</si>
  <si>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</si>
  <si>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</si>
  <si>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</si>
  <si>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</si>
  <si>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</si>
  <si>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</si>
  <si>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</si>
  <si>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</si>
  <si>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</si>
  <si>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</si>
  <si>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</si>
  <si>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</si>
  <si>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</si>
  <si>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</si>
  <si>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</si>
  <si>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</si>
  <si>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</si>
  <si>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</si>
  <si>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</si>
  <si>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</si>
  <si>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</si>
  <si>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</si>
  <si>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</si>
  <si>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</si>
  <si>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</si>
  <si>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</si>
  <si>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</si>
  <si>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</si>
  <si>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</si>
  <si>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</si>
  <si>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</si>
  <si>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</si>
  <si>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</si>
  <si>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</si>
  <si>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</si>
  <si>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</si>
  <si>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</si>
  <si>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</si>
  <si>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</si>
  <si>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</si>
  <si>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</si>
  <si>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</si>
  <si>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</si>
  <si>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</si>
  <si>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</si>
  <si>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</si>
  <si>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</si>
  <si>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</si>
  <si>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</si>
  <si>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</si>
  <si>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</si>
  <si>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</si>
  <si>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</si>
  <si>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</si>
  <si>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</si>
  <si>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</si>
  <si>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</si>
  <si>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</si>
  <si>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</si>
  <si>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</si>
  <si>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</si>
  <si>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</si>
  <si>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</si>
  <si>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</si>
  <si>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</si>
  <si>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</si>
  <si>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</si>
  <si>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</si>
  <si>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</si>
  <si>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</si>
  <si>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</si>
  <si>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</si>
  <si>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</si>
  <si>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</si>
  <si>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</si>
  <si>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</si>
  <si>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</si>
  <si>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</si>
  <si>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</si>
  <si>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</si>
  <si>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</si>
  <si>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</si>
  <si>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</si>
  <si>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</si>
  <si>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</si>
  <si>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</si>
  <si>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</si>
  <si>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</si>
  <si>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</si>
  <si>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</si>
  <si>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</si>
  <si>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</si>
  <si>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</si>
  <si>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</si>
  <si>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</si>
  <si>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</si>
  <si>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</si>
  <si>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</si>
  <si>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</si>
  <si>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</si>
  <si>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</si>
  <si>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</si>
  <si>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</si>
  <si>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</si>
  <si>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</si>
  <si>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</si>
  <si>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</si>
  <si>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</si>
  <si>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</si>
  <si>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</si>
  <si>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</si>
  <si>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</si>
  <si>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</si>
  <si>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</si>
  <si>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</si>
  <si>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</si>
  <si>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</si>
  <si>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</si>
  <si>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</si>
  <si>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</si>
  <si>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</si>
  <si>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</si>
  <si>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</si>
  <si>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</si>
  <si>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</si>
  <si>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</si>
  <si>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</si>
  <si>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</si>
  <si>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</si>
  <si>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</si>
  <si>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</si>
  <si>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</si>
  <si>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</si>
  <si>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</si>
  <si>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</si>
  <si>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</si>
  <si>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</si>
  <si>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</si>
  <si>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</si>
  <si>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</si>
  <si>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</si>
  <si>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</si>
  <si>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</si>
  <si>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</si>
  <si>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</si>
  <si>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</si>
  <si>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</si>
  <si>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</si>
  <si>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</si>
  <si>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</si>
  <si>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</si>
  <si>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</si>
  <si>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</si>
  <si>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</si>
  <si>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</si>
  <si>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</si>
  <si>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</si>
  <si>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</si>
  <si>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</si>
  <si>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</si>
  <si>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</si>
  <si>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</si>
  <si>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</si>
  <si>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</si>
  <si>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</si>
  <si>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</si>
  <si>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</si>
  <si>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</si>
  <si>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</si>
  <si>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</si>
  <si>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</si>
  <si>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</si>
  <si>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</si>
  <si>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</si>
  <si>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</si>
  <si>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</si>
  <si>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</si>
  <si>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</si>
  <si>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</si>
  <si>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</si>
  <si>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</si>
  <si>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</si>
  <si>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</si>
  <si>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</si>
  <si>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</si>
  <si>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</si>
  <si>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</si>
  <si>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</si>
  <si>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</si>
  <si>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</si>
  <si>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</si>
  <si>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</si>
  <si>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</si>
  <si>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</si>
  <si>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</si>
  <si>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</si>
  <si>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</si>
  <si>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</si>
  <si>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</si>
  <si>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</si>
  <si>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</si>
  <si>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</si>
  <si>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</si>
  <si>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</si>
  <si>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</si>
  <si>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</si>
  <si>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</si>
  <si>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</si>
  <si>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</si>
  <si>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</si>
  <si>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</si>
  <si>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</si>
  <si>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</si>
  <si>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</si>
  <si>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</si>
  <si>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</si>
  <si>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</si>
  <si>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</si>
  <si>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</si>
  <si>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</si>
  <si>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</si>
  <si>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</si>
  <si>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</si>
  <si>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</si>
  <si>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</si>
  <si>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</si>
  <si>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</si>
  <si>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</si>
  <si>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</si>
  <si>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</si>
  <si>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</si>
  <si>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</si>
  <si>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</si>
  <si>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</si>
  <si>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</si>
  <si>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</si>
  <si>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</si>
  <si>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</si>
  <si>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</si>
  <si>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</si>
  <si>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</si>
  <si>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</si>
  <si>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</si>
  <si>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</si>
  <si>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</si>
  <si>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</si>
  <si>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</si>
  <si>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</si>
  <si>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</si>
  <si>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</si>
  <si>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</si>
  <si>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</si>
  <si>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</si>
  <si>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</si>
  <si>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</si>
  <si>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</si>
  <si>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</si>
  <si>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</si>
  <si>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</si>
  <si>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</si>
  <si>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</si>
  <si>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</si>
  <si>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</si>
  <si>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</si>
  <si>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</si>
  <si>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</si>
  <si>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</si>
  <si>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</si>
  <si>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</si>
  <si>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</si>
  <si>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</si>
  <si>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</si>
  <si>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</si>
  <si>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</si>
  <si>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</si>
  <si>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</si>
  <si>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</si>
  <si>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</si>
  <si>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</si>
  <si>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</si>
  <si>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</si>
  <si>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</si>
  <si>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</si>
  <si>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</si>
  <si>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</si>
  <si>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</si>
  <si>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</si>
  <si>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</si>
  <si>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</si>
  <si>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</si>
  <si>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</si>
  <si>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</si>
  <si>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</si>
  <si>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</si>
  <si>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</si>
  <si>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</si>
  <si>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</si>
  <si>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</si>
  <si>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</si>
  <si>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</si>
  <si>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</si>
  <si>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</si>
  <si>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</si>
  <si>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</si>
  <si>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</si>
  <si>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</si>
  <si>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</si>
  <si>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</si>
  <si>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</si>
  <si>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</si>
  <si>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</si>
  <si>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</si>
  <si>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</si>
  <si>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</si>
  <si>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</si>
  <si>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</si>
  <si>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</si>
  <si>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</si>
  <si>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</si>
  <si>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</si>
  <si>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</si>
  <si>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</si>
  <si>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</si>
  <si>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</si>
  <si>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</si>
  <si>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</si>
  <si>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</si>
  <si>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</si>
  <si>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</si>
  <si>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</si>
  <si>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</si>
  <si>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</si>
  <si>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</si>
  <si>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</si>
  <si>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</si>
  <si>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</si>
  <si>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</si>
  <si>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</si>
  <si>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</si>
  <si>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</si>
  <si>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</si>
  <si>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</si>
  <si>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</si>
  <si>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</si>
  <si>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</si>
  <si>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</si>
  <si>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</si>
  <si>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</si>
  <si>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</si>
  <si>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</si>
  <si>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</si>
  <si>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</si>
  <si>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</si>
  <si>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</si>
  <si>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</si>
  <si>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</si>
  <si>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</si>
  <si>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</si>
  <si>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</si>
  <si>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</si>
  <si>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</si>
  <si>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</si>
  <si>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</si>
  <si>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</si>
  <si>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</si>
  <si>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</si>
  <si>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</si>
  <si>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</si>
  <si>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</si>
  <si>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</si>
  <si>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</si>
  <si>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</si>
  <si>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</si>
  <si>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</si>
  <si>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</si>
  <si>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</si>
  <si>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</si>
  <si>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</si>
  <si>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</si>
  <si>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</si>
  <si>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</si>
  <si>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</si>
  <si>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</si>
  <si>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</si>
  <si>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</si>
  <si>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</si>
  <si>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</si>
  <si>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</si>
  <si>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</si>
  <si>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</si>
  <si>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</si>
  <si>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</si>
  <si>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</si>
  <si>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</si>
  <si>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</si>
  <si>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</si>
  <si>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</si>
  <si>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</si>
  <si>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</si>
  <si>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</si>
  <si>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</si>
  <si>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</si>
  <si>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</si>
  <si>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</si>
  <si>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</si>
  <si>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</si>
  <si>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</si>
  <si>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</si>
  <si>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</si>
  <si>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</si>
  <si>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</si>
  <si>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</si>
  <si>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</si>
  <si>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</si>
  <si>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</si>
  <si>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</si>
  <si>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</si>
  <si>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</si>
  <si>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</si>
  <si>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</si>
  <si>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</si>
  <si>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</si>
  <si>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</si>
  <si>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</si>
  <si>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</si>
  <si>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</si>
  <si>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</si>
  <si>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</si>
  <si>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</si>
  <si>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</si>
  <si>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</si>
  <si>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</si>
  <si>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</si>
  <si>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</si>
  <si>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</si>
  <si>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</si>
  <si>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</si>
  <si>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</si>
  <si>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</si>
  <si>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</si>
  <si>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</si>
  <si>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</si>
  <si>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</si>
  <si>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</si>
  <si>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</si>
  <si>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</si>
  <si>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</si>
  <si>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</si>
  <si>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</si>
  <si>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</si>
  <si>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</si>
  <si>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</si>
  <si>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</si>
  <si>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</si>
  <si>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</si>
  <si>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</si>
  <si>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</si>
  <si>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</si>
  <si>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</si>
  <si>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</si>
  <si>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</si>
  <si>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</si>
  <si>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</si>
  <si>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</si>
  <si>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</si>
  <si>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</si>
  <si>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</si>
  <si>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</si>
  <si>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</si>
  <si>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</si>
  <si>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</si>
  <si>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</si>
  <si>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</si>
  <si>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</si>
  <si>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</si>
  <si>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</si>
  <si>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</si>
  <si>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</si>
  <si>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</si>
  <si>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</si>
  <si>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</si>
  <si>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</si>
  <si>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</si>
  <si>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</si>
  <si>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</si>
  <si>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</si>
  <si>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</si>
  <si>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</si>
  <si>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</si>
  <si>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</si>
  <si>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</si>
  <si>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</si>
  <si>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</si>
  <si>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</si>
  <si>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</si>
  <si>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</si>
  <si>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</si>
  <si>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</si>
  <si>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</si>
  <si>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</si>
  <si>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</si>
  <si>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</si>
  <si>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</si>
  <si>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</si>
  <si>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</si>
  <si>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</si>
  <si>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</si>
  <si>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</si>
  <si>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</si>
  <si>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</si>
  <si>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</si>
  <si>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</si>
  <si>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</si>
  <si>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</si>
  <si>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</si>
  <si>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</si>
  <si>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</si>
  <si>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</si>
  <si>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</si>
  <si>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</si>
  <si>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</si>
  <si>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</si>
  <si>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</si>
  <si>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</si>
  <si>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</si>
  <si>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</si>
  <si>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</si>
  <si>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</si>
  <si>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</si>
  <si>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</si>
  <si>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</si>
  <si>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</si>
  <si>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</si>
  <si>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</si>
  <si>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</si>
  <si>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</si>
  <si>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</si>
  <si>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</si>
  <si>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</si>
  <si>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</si>
  <si>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</si>
  <si>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</si>
  <si>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</si>
  <si>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</si>
  <si>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</si>
  <si>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</si>
  <si>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</si>
  <si>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</si>
  <si>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</si>
  <si>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</si>
  <si>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</si>
  <si>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</si>
  <si>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</si>
  <si>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</si>
  <si>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</si>
  <si>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</si>
  <si>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</si>
  <si>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</si>
  <si>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</si>
  <si>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</si>
  <si>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</si>
  <si>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</si>
  <si>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</si>
  <si>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</si>
  <si>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</si>
  <si>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</si>
  <si>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</si>
  <si>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</si>
  <si>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</si>
  <si>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</si>
  <si>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</si>
  <si>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</si>
  <si>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</si>
  <si>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</si>
  <si>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</si>
  <si>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</si>
  <si>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</si>
  <si>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</si>
  <si>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</si>
  <si>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</si>
  <si>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</si>
  <si>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</si>
  <si>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</si>
  <si>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</si>
  <si>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</si>
  <si>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</si>
  <si>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</si>
  <si>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</si>
  <si>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</si>
  <si>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</si>
  <si>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</si>
  <si>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</si>
  <si>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</si>
  <si>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</si>
  <si>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</si>
  <si>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</si>
  <si>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</si>
  <si>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</si>
  <si>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</si>
  <si>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</si>
  <si>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</si>
  <si>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</si>
  <si>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</si>
  <si>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</si>
  <si>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</si>
  <si>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</si>
  <si>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</si>
  <si>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</si>
  <si>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</si>
  <si>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</si>
  <si>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</si>
  <si>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</si>
  <si>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</si>
  <si>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</si>
  <si>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</si>
  <si>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</si>
  <si>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</si>
  <si>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</si>
  <si>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</si>
  <si>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</si>
  <si>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</si>
  <si>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</si>
  <si>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</si>
  <si>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</si>
  <si>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</si>
  <si>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</si>
  <si>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</si>
  <si>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</si>
  <si>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</si>
  <si>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</si>
  <si>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</si>
  <si>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</si>
  <si>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</si>
  <si>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</si>
  <si>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</si>
  <si>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</si>
  <si>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</si>
  <si>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</si>
  <si>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</si>
  <si>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</si>
  <si>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</si>
  <si>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</si>
  <si>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</si>
  <si>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</si>
  <si>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</si>
  <si>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</si>
  <si>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</si>
  <si>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</si>
  <si>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</si>
  <si>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</si>
  <si>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</si>
  <si>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</si>
  <si>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</si>
  <si>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</si>
  <si>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</si>
  <si>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</si>
  <si>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</si>
  <si>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</si>
  <si>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</si>
  <si>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</si>
  <si>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</si>
  <si>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</si>
  <si>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</si>
  <si>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</si>
  <si>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</si>
  <si>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</si>
  <si>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</si>
  <si>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</si>
  <si>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</si>
  <si>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</si>
  <si>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</si>
  <si>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</si>
  <si>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</si>
  <si>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</si>
  <si>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</si>
  <si>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</si>
  <si>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</si>
  <si>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</si>
  <si>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</si>
  <si>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</si>
  <si>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</si>
  <si>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</si>
  <si>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</si>
  <si>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</si>
  <si>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</si>
  <si>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</si>
  <si>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</si>
  <si>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</si>
  <si>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</si>
  <si>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</si>
  <si>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</si>
  <si>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</si>
  <si>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</si>
  <si>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</si>
  <si>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</si>
  <si>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</si>
  <si>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</si>
  <si>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</si>
  <si>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</si>
  <si>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</si>
  <si>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</si>
  <si>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</si>
  <si>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</si>
  <si>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</si>
  <si>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</si>
  <si>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</si>
  <si>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</si>
  <si>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</si>
  <si>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</si>
  <si>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</si>
  <si>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</si>
  <si>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</si>
  <si>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</si>
  <si>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</si>
  <si>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</si>
  <si>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</si>
  <si>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</si>
  <si>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</si>
  <si>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</si>
  <si>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</si>
  <si>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</si>
  <si>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</si>
  <si>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</si>
  <si>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</si>
  <si>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</si>
  <si>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</si>
  <si>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</si>
  <si>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</si>
  <si>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</si>
  <si>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</si>
  <si>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</si>
  <si>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</si>
  <si>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</si>
  <si>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</si>
  <si>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</si>
  <si>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</si>
  <si>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</si>
  <si>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</si>
  <si>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</si>
  <si>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</si>
  <si>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</si>
  <si>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</si>
  <si>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</si>
  <si>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</si>
  <si>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</si>
  <si>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</si>
  <si>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</si>
  <si>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</si>
  <si>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</si>
  <si>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</si>
  <si>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</si>
  <si>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</si>
  <si>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</si>
  <si>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</si>
  <si>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</si>
  <si>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</si>
  <si>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</si>
  <si>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</si>
  <si>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</si>
  <si>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</si>
  <si>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</si>
  <si>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</si>
  <si>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</si>
  <si>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</si>
  <si>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</si>
  <si>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</si>
  <si>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</si>
  <si>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</si>
  <si>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</si>
  <si>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</si>
  <si>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</si>
  <si>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</si>
  <si>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</si>
  <si>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</si>
  <si>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</si>
  <si>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</si>
  <si>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</si>
  <si>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</si>
  <si>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</si>
  <si>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</si>
  <si>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</si>
  <si>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</si>
  <si>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</si>
  <si>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</si>
  <si>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</si>
  <si>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</si>
  <si>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</si>
  <si>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</si>
  <si>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</si>
  <si>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</si>
  <si>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</si>
  <si>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</si>
  <si>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</si>
  <si>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</si>
  <si>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</si>
  <si>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</si>
  <si>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</si>
  <si>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</si>
  <si>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</si>
  <si>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</si>
  <si>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</si>
  <si>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</si>
  <si>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</si>
  <si>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</si>
  <si>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</si>
  <si>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</si>
  <si>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</si>
  <si>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</si>
  <si>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</si>
  <si>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</si>
  <si>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</si>
  <si>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</si>
  <si>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</si>
  <si>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</si>
  <si>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</si>
  <si>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</si>
  <si>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</si>
  <si>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</si>
  <si>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</si>
  <si>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</si>
  <si>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</si>
  <si>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</si>
  <si>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</si>
  <si>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</si>
  <si>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</si>
  <si>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</si>
  <si>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</si>
  <si>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</si>
  <si>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</si>
  <si>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</si>
  <si>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</si>
  <si>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</si>
  <si>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</si>
  <si>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</si>
  <si>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</si>
  <si>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</si>
  <si>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</si>
  <si>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</si>
  <si>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</si>
  <si>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</si>
  <si>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</si>
  <si>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</si>
  <si>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</si>
  <si>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</si>
  <si>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</si>
  <si>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</si>
  <si>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</si>
  <si>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</si>
  <si>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</si>
  <si>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</si>
  <si>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</si>
  <si>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</si>
  <si>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</si>
  <si>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</si>
  <si>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</si>
  <si>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</si>
  <si>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</si>
  <si>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</si>
  <si>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</si>
  <si>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</si>
  <si>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</si>
  <si>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</si>
  <si>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</si>
  <si>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</si>
  <si>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</si>
  <si>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</si>
  <si>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</si>
  <si>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</si>
  <si>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</si>
  <si>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</si>
  <si>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</si>
  <si>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</si>
  <si>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</si>
  <si>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</si>
  <si>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</si>
  <si>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</si>
  <si>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</si>
  <si>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</si>
  <si>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</si>
  <si>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</si>
  <si>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</si>
  <si>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</si>
  <si>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</si>
  <si>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</si>
  <si>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</si>
  <si>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</si>
  <si>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</si>
  <si>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</si>
  <si>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</si>
  <si>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</si>
  <si>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</si>
  <si>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</si>
  <si>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</si>
  <si>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</si>
  <si>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</si>
  <si>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</si>
  <si>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</si>
  <si>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</si>
  <si>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</si>
  <si>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</si>
  <si>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</si>
  <si>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</si>
  <si>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</si>
  <si>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</si>
  <si>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</si>
  <si>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</si>
  <si>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</si>
  <si>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</si>
  <si>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</si>
  <si>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</si>
  <si>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</si>
  <si>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</si>
  <si>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</si>
  <si>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</si>
  <si>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</si>
  <si>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</si>
  <si>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</si>
  <si>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</si>
  <si>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</si>
  <si>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</si>
  <si>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</si>
  <si>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</si>
  <si>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</si>
  <si>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</si>
  <si>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</si>
  <si>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</si>
  <si>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</si>
  <si>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</si>
  <si>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</si>
  <si>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</si>
  <si>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</si>
  <si>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</si>
  <si>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</si>
  <si>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</si>
  <si>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</si>
  <si>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</si>
  <si>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</si>
  <si>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</si>
  <si>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</si>
  <si>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</si>
  <si>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</si>
  <si>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</si>
  <si>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</si>
  <si>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</si>
  <si>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</si>
  <si>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</si>
  <si>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</si>
  <si>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</si>
  <si>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</si>
  <si>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</si>
  <si>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</si>
  <si>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</si>
  <si>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</si>
  <si>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</si>
  <si>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</si>
  <si>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</si>
  <si>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</si>
  <si>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</si>
  <si>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</si>
  <si>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</si>
  <si>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</si>
  <si>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</si>
  <si>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</si>
  <si>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</si>
  <si>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</si>
  <si>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</si>
  <si>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</si>
  <si>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</si>
  <si>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</si>
  <si>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</si>
  <si>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</si>
  <si>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</si>
  <si>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</si>
  <si>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</si>
  <si>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</si>
  <si>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</si>
  <si>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</si>
  <si>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</si>
  <si>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</si>
  <si>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</si>
  <si>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</si>
  <si>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</si>
  <si>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</si>
  <si>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</si>
  <si>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</si>
  <si>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</si>
  <si>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</si>
  <si>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</si>
  <si>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</si>
  <si>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</si>
  <si>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</si>
  <si>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</si>
  <si>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</si>
  <si>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</si>
  <si>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</si>
  <si>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</si>
  <si>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</si>
  <si>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</si>
  <si>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</si>
  <si>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</si>
  <si>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</si>
  <si>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</si>
  <si>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</si>
  <si>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</si>
  <si>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</si>
  <si>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</si>
  <si>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</si>
  <si>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</si>
  <si>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</si>
  <si>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</si>
  <si>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</si>
  <si>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</si>
  <si>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</si>
  <si>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</si>
  <si>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</si>
  <si>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</si>
  <si>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</si>
  <si>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</si>
  <si>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</si>
  <si>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</si>
  <si>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</si>
  <si>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</si>
  <si>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</si>
  <si>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</si>
  <si>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</si>
  <si>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</si>
  <si>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</si>
  <si>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</si>
  <si>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</si>
  <si>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</si>
  <si>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</si>
  <si>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</si>
  <si>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</si>
  <si>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</si>
  <si>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</si>
  <si>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</si>
  <si>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</si>
  <si>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</si>
  <si>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</si>
  <si>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</si>
  <si>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</si>
  <si>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</si>
  <si>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</si>
  <si>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</si>
  <si>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</si>
  <si>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</si>
  <si>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</si>
  <si>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</si>
  <si>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</si>
  <si>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</si>
  <si>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</si>
  <si>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</si>
  <si>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</si>
  <si>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</si>
  <si>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</si>
  <si>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</si>
  <si>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</si>
  <si>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</si>
  <si>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</si>
  <si>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</si>
  <si>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</si>
  <si>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</si>
  <si>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</si>
  <si>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</si>
  <si>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</si>
  <si>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</si>
  <si>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</si>
  <si>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</si>
  <si>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</si>
  <si>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</si>
  <si>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</si>
  <si>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</si>
  <si>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</si>
  <si>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</si>
  <si>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</si>
  <si>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</si>
  <si>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</si>
  <si>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</si>
  <si>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</si>
  <si>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</si>
  <si>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</si>
  <si>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</si>
  <si>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</si>
  <si>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</si>
  <si>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</si>
  <si>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</si>
  <si>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</si>
  <si>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</si>
  <si>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</si>
  <si>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</si>
  <si>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</si>
  <si>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</si>
  <si>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</si>
  <si>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</si>
  <si>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</si>
  <si>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</si>
  <si>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</si>
  <si>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</si>
  <si>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</si>
  <si>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</si>
  <si>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</si>
  <si>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</si>
  <si>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</si>
  <si>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</si>
  <si>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</si>
  <si>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</si>
  <si>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</si>
  <si>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</si>
  <si>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</si>
  <si>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</si>
  <si>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</si>
  <si>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</si>
  <si>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</si>
  <si>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</si>
  <si>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</si>
  <si>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</si>
  <si>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</si>
  <si>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</si>
  <si>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</si>
  <si>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</si>
  <si>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</si>
  <si>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</si>
  <si>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</si>
  <si>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</si>
  <si>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</si>
  <si>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</si>
  <si>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</si>
  <si>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</si>
  <si>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</si>
  <si>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</si>
  <si>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</si>
  <si>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</si>
  <si>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</si>
  <si>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</si>
  <si>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</si>
  <si>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</si>
  <si>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</si>
  <si>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</si>
  <si>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</si>
  <si>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</si>
  <si>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</si>
  <si>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</si>
  <si>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</si>
  <si>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</si>
  <si>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</si>
  <si>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</si>
  <si>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</si>
  <si>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</si>
  <si>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</si>
  <si>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</si>
  <si>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</si>
  <si>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</si>
  <si>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</si>
  <si>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</si>
  <si>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</si>
  <si>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</si>
  <si>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</si>
  <si>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</si>
  <si>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</si>
  <si>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</si>
  <si>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</si>
  <si>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</si>
  <si>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</si>
  <si>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</si>
  <si>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</si>
  <si>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</si>
  <si>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</si>
  <si>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</si>
  <si>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</si>
  <si>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</si>
  <si>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</si>
  <si>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</si>
  <si>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</si>
  <si>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</si>
  <si>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</si>
  <si>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</si>
  <si>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</si>
  <si>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</si>
  <si>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</si>
  <si>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</si>
  <si>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</si>
  <si>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</si>
  <si>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</si>
  <si>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</si>
  <si>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</si>
  <si>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</si>
  <si>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</si>
  <si>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</si>
  <si>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</si>
  <si>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</si>
  <si>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</si>
  <si>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</si>
  <si>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</si>
  <si>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</si>
  <si>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</si>
  <si>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</si>
  <si>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</si>
  <si>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</si>
  <si>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</si>
  <si>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</si>
  <si>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</si>
  <si>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</si>
  <si>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</si>
  <si>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</si>
  <si>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</si>
  <si>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</si>
  <si>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</si>
  <si>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</si>
  <si>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</si>
  <si>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</si>
  <si>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</si>
  <si>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</si>
  <si>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</si>
  <si>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</si>
  <si>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</si>
  <si>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</si>
  <si>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</si>
  <si>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</si>
  <si>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</si>
  <si>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</si>
  <si>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</si>
  <si>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</si>
  <si>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</si>
  <si>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</si>
  <si>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</si>
  <si>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</si>
  <si>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</si>
  <si>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</si>
  <si>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</si>
  <si>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</si>
  <si>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</si>
  <si>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</si>
  <si>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</si>
  <si>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</si>
  <si>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</si>
  <si>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</si>
  <si>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</si>
  <si>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</si>
  <si>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</si>
  <si>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</si>
  <si>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</si>
  <si>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</si>
  <si>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</si>
  <si>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</si>
  <si>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</si>
  <si>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</si>
  <si>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</si>
  <si>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</si>
  <si>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</si>
  <si>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</si>
  <si>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</si>
  <si>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</si>
  <si>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</si>
  <si>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</si>
  <si>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</si>
  <si>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</si>
  <si>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</si>
  <si>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</si>
  <si>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</si>
  <si>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</si>
  <si>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</si>
  <si>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</si>
  <si>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</si>
  <si>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</si>
  <si>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</si>
  <si>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</si>
  <si>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</si>
  <si>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</si>
  <si>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</si>
  <si>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</si>
  <si>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</si>
  <si>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</si>
  <si>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</si>
  <si>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</si>
  <si>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</si>
  <si>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</si>
  <si>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</si>
  <si>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</si>
  <si>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</si>
  <si>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</si>
  <si>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</si>
  <si>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</si>
  <si>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</si>
  <si>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</si>
  <si>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</si>
  <si>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</si>
  <si>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</si>
  <si>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</si>
  <si>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</si>
  <si>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</si>
  <si>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</si>
  <si>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</si>
  <si>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</si>
  <si>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</si>
  <si>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</si>
  <si>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</si>
  <si>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</si>
  <si>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</si>
  <si>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</si>
  <si>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</si>
  <si>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</si>
  <si>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</si>
  <si>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</si>
  <si>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</si>
  <si>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</si>
  <si>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</si>
  <si>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</si>
  <si>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</si>
  <si>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</si>
  <si>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</si>
  <si>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</si>
  <si>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</si>
  <si>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</si>
  <si>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</si>
  <si>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</si>
  <si>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</si>
  <si>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</si>
  <si>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</si>
  <si>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</si>
  <si>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</si>
  <si>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</si>
  <si>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</si>
  <si>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</si>
  <si>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</si>
  <si>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</si>
  <si>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</si>
  <si>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</si>
  <si>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</si>
  <si>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</si>
  <si>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</si>
  <si>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</si>
  <si>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</si>
  <si>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</si>
  <si>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</si>
  <si>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</si>
  <si>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</si>
  <si>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</si>
  <si>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</si>
  <si>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</si>
  <si>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</si>
  <si>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</si>
  <si>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</si>
  <si>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</si>
  <si>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</si>
  <si>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</si>
  <si>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</si>
  <si>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</si>
  <si>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</si>
  <si>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</si>
  <si>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</si>
  <si>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</si>
  <si>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</si>
  <si>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</si>
  <si>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</si>
  <si>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</si>
  <si>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</si>
  <si>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</si>
  <si>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</si>
  <si>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</si>
  <si>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</si>
  <si>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</si>
  <si>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</si>
  <si>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</si>
  <si>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</si>
  <si>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</si>
  <si>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</si>
  <si>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</si>
  <si>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</si>
  <si>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</si>
  <si>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</si>
  <si>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</si>
  <si>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</si>
  <si>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</si>
  <si>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</si>
  <si>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</si>
  <si>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</si>
  <si>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</si>
  <si>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</si>
  <si>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</si>
  <si>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</si>
  <si>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</si>
  <si>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</si>
  <si>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</si>
  <si>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</si>
  <si>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</si>
  <si>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</si>
  <si>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</si>
  <si>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</si>
  <si>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</si>
  <si>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</si>
  <si>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</si>
  <si>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</si>
  <si>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</si>
  <si>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</si>
  <si>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</si>
  <si>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</si>
  <si>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</si>
  <si>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</si>
  <si>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</si>
  <si>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</si>
  <si>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</si>
  <si>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</si>
  <si>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</si>
  <si>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</si>
  <si>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</si>
  <si>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</si>
  <si>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</si>
  <si>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</si>
  <si>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</si>
  <si>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</si>
  <si>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</si>
  <si>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</si>
  <si>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</si>
  <si>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</si>
  <si>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</si>
  <si>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</si>
  <si>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</si>
  <si>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</si>
  <si>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</si>
  <si>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</si>
  <si>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</si>
  <si>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</si>
  <si>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</si>
  <si>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</si>
  <si>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</si>
  <si>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</si>
  <si>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</si>
  <si>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</si>
  <si>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</si>
  <si>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</si>
  <si>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</si>
  <si>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</si>
  <si>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</si>
  <si>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</si>
  <si>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</si>
  <si>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</si>
  <si>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</si>
  <si>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</si>
  <si>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</si>
  <si>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</si>
  <si>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</si>
  <si>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</si>
  <si>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</si>
  <si>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</si>
  <si>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</si>
  <si>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</si>
  <si>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</si>
  <si>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</si>
  <si>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</si>
  <si>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</si>
  <si>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</si>
  <si>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</si>
  <si>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</si>
  <si>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</si>
  <si>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</si>
  <si>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</si>
  <si>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</si>
  <si>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</si>
  <si>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</si>
  <si>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</si>
  <si>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</si>
  <si>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</si>
  <si>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</si>
  <si>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</si>
  <si>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</si>
  <si>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</si>
  <si>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</si>
  <si>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</si>
  <si>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</si>
  <si>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</si>
  <si>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</si>
  <si>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</si>
  <si>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</si>
  <si>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</si>
  <si>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</si>
  <si>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</si>
  <si>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</si>
  <si>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</si>
  <si>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</si>
  <si>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</si>
  <si>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</si>
  <si>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</si>
  <si>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</si>
  <si>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</si>
  <si>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</si>
  <si>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</si>
  <si>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</si>
  <si>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</si>
  <si>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</si>
  <si>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</si>
  <si>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</si>
  <si>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</si>
  <si>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</si>
  <si>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</si>
  <si>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</si>
  <si>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</si>
  <si>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</si>
  <si>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</si>
  <si>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</si>
  <si>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</si>
  <si>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</si>
  <si>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</si>
  <si>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</si>
  <si>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</si>
  <si>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</si>
  <si>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</si>
  <si>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</si>
  <si>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</si>
  <si>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</si>
  <si>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</si>
  <si>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</si>
  <si>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</si>
  <si>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</si>
  <si>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</si>
  <si>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</si>
  <si>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</si>
  <si>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</si>
  <si>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</si>
  <si>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</si>
  <si>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</si>
  <si>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</si>
  <si>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</si>
  <si>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</si>
  <si>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</si>
  <si>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</si>
  <si>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</si>
  <si>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</si>
  <si>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</si>
  <si>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</si>
  <si>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</si>
  <si>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</si>
  <si>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</si>
  <si>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</si>
  <si>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</si>
  <si>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</si>
  <si>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</si>
  <si>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</si>
  <si>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</si>
  <si>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</si>
  <si>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</si>
  <si>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</si>
  <si>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</si>
  <si>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</si>
  <si>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</si>
  <si>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</si>
  <si>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</si>
  <si>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</si>
  <si>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</si>
  <si>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</si>
  <si>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</si>
  <si>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</si>
  <si>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</si>
  <si>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</si>
  <si>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</si>
  <si>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</si>
  <si>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</si>
  <si>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</si>
  <si>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</si>
  <si>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</si>
  <si>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</si>
  <si>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</si>
  <si>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</si>
  <si>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</si>
  <si>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</si>
  <si>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</si>
  <si>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</si>
  <si>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</si>
  <si>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</si>
  <si>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</si>
  <si>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</si>
  <si>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</si>
  <si>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</si>
  <si>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</si>
  <si>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</si>
  <si>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</si>
  <si>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</si>
  <si>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</si>
  <si>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</si>
  <si>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</si>
  <si>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</si>
  <si>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</si>
  <si>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</si>
  <si>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</si>
  <si>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</si>
  <si>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</si>
  <si>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</si>
  <si>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</si>
  <si>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</si>
  <si>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</si>
  <si>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</si>
  <si>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</si>
  <si>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</si>
  <si>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</si>
  <si>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</si>
  <si>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</si>
  <si>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</si>
  <si>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</si>
  <si>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</si>
  <si>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</si>
  <si>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</si>
  <si>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</si>
  <si>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</si>
  <si>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</si>
  <si>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</si>
  <si>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</si>
  <si>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</si>
  <si>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</si>
  <si>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</si>
  <si>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</si>
  <si>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</si>
  <si>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</si>
  <si>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</si>
  <si>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</si>
  <si>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</si>
  <si>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</si>
  <si>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</si>
  <si>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</si>
  <si>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</si>
  <si>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</si>
  <si>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</si>
  <si>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</si>
  <si>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</si>
  <si>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</si>
  <si>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</si>
  <si>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</si>
  <si>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</si>
  <si>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</si>
  <si>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</si>
  <si>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</si>
  <si>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</si>
  <si>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</si>
  <si>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</si>
  <si>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</si>
  <si>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</si>
  <si>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</si>
  <si>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</si>
  <si>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</si>
  <si>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</si>
  <si>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</si>
  <si>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</si>
  <si>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</si>
  <si>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</si>
  <si>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</si>
  <si>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</si>
  <si>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</si>
  <si>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</si>
  <si>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</si>
  <si>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</si>
  <si>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</si>
  <si>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</si>
  <si>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</si>
  <si>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</si>
  <si>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</si>
  <si>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</si>
  <si>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</si>
  <si>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</si>
  <si>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</si>
  <si>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</si>
  <si>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</si>
  <si>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</si>
  <si>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</si>
  <si>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</si>
  <si>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</si>
  <si>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</si>
  <si>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</si>
  <si>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</si>
  <si>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</si>
  <si>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</si>
  <si>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</si>
  <si>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</si>
  <si>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</si>
  <si>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</si>
  <si>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</si>
  <si>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</si>
  <si>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</si>
  <si>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</si>
  <si>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</si>
  <si>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</si>
  <si>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</si>
  <si>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</si>
  <si>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</si>
  <si>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</si>
  <si>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</si>
  <si>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</si>
  <si>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</si>
  <si>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</si>
  <si>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</si>
  <si>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</si>
  <si>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</si>
  <si>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</si>
  <si>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</si>
  <si>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</si>
  <si>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</si>
  <si>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</si>
  <si>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</si>
  <si>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</si>
  <si>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</si>
  <si>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</si>
  <si>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</si>
  <si>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</si>
  <si>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</si>
  <si>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</si>
  <si>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</si>
  <si>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</si>
  <si>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</si>
  <si>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</si>
  <si>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</si>
  <si>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</si>
  <si>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</si>
  <si>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</si>
  <si>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</si>
  <si>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</si>
  <si>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</si>
  <si>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</si>
  <si>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</si>
  <si>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</si>
  <si>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</si>
  <si>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</si>
  <si>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</si>
  <si>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</si>
  <si>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</si>
  <si>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</si>
  <si>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</si>
  <si>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</si>
  <si>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</si>
  <si>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</si>
  <si>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</si>
  <si>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</si>
  <si>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</si>
  <si>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</si>
  <si>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</si>
  <si>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</si>
  <si>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</si>
  <si>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</si>
  <si>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</si>
  <si>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</si>
  <si>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</si>
  <si>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</si>
  <si>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</si>
  <si>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</si>
  <si>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</si>
  <si>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</si>
  <si>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</si>
  <si>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</si>
  <si>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</si>
  <si>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</si>
  <si>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</si>
  <si>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</si>
  <si>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</si>
  <si>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</si>
  <si>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</si>
  <si>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</si>
  <si>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</si>
  <si>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</si>
  <si>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</si>
  <si>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</si>
  <si>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</si>
  <si>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</si>
  <si>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</si>
  <si>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</si>
  <si>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</si>
  <si>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</si>
  <si>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</si>
  <si>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</si>
  <si>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</si>
  <si>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</si>
  <si>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</si>
  <si>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</si>
  <si>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</si>
  <si>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</si>
  <si>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</si>
  <si>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</si>
  <si>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</si>
  <si>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</si>
  <si>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</si>
  <si>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</si>
  <si>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</si>
  <si>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</si>
  <si>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</si>
  <si>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</si>
  <si>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</si>
  <si>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</si>
  <si>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</si>
  <si>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</si>
  <si>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</si>
  <si>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</si>
  <si>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</si>
  <si>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</si>
  <si>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</si>
  <si>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</si>
  <si>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</si>
  <si>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</si>
  <si>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</si>
  <si>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</si>
  <si>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</si>
  <si>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</si>
  <si>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</si>
  <si>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</si>
  <si>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</si>
  <si>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</si>
  <si>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</si>
  <si>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</si>
  <si>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</si>
  <si>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</si>
  <si>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</si>
  <si>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</si>
  <si>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</si>
  <si>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</si>
  <si>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</si>
  <si>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</si>
  <si>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</si>
  <si>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</si>
  <si>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</si>
  <si>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</si>
  <si>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</si>
  <si>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</si>
  <si>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</si>
  <si>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</si>
  <si>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</si>
  <si>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</si>
  <si>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</si>
  <si>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</si>
  <si>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</si>
  <si>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</si>
  <si>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</si>
  <si>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</si>
  <si>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</si>
  <si>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</si>
  <si>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</si>
  <si>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</si>
  <si>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</si>
  <si>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</si>
  <si>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</si>
  <si>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</si>
  <si>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</si>
  <si>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</si>
  <si>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</si>
  <si>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</si>
  <si>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</si>
  <si>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</si>
  <si>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</si>
  <si>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</si>
  <si>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</si>
  <si>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</si>
  <si>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</si>
  <si>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</si>
  <si>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</si>
  <si>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</si>
  <si>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</si>
  <si>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</si>
  <si>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</si>
  <si>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</si>
  <si>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</si>
  <si>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</si>
  <si>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</si>
  <si>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</si>
  <si>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</si>
  <si>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</si>
  <si>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</si>
  <si>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</si>
  <si>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</si>
  <si>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</si>
  <si>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</si>
  <si>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</si>
  <si>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</si>
  <si>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</si>
  <si>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</si>
  <si>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</si>
  <si>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</si>
  <si>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</si>
  <si>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</si>
  <si>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</si>
  <si>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</si>
  <si>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</si>
  <si>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</si>
  <si>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</si>
  <si>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</si>
  <si>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</si>
  <si>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</si>
  <si>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</si>
  <si>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</si>
  <si>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</si>
  <si>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</si>
  <si>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</si>
  <si>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</si>
  <si>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</si>
  <si>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</si>
  <si>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</si>
  <si>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</si>
  <si>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</si>
  <si>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</si>
  <si>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</si>
  <si>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</si>
  <si>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</si>
  <si>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</si>
  <si>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</si>
  <si>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</si>
  <si>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</si>
  <si>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</si>
  <si>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</si>
  <si>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</si>
  <si>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</si>
  <si>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</si>
  <si>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</si>
  <si>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</si>
  <si>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</si>
  <si>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</si>
  <si>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</si>
  <si>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</si>
  <si>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</si>
  <si>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</si>
  <si>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</si>
  <si>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</si>
  <si>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</si>
  <si>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</si>
  <si>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</si>
  <si>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</si>
  <si>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</si>
  <si>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</si>
  <si>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</si>
  <si>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</si>
  <si>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</si>
  <si>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</si>
  <si>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</si>
  <si>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</si>
  <si>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</si>
  <si>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</si>
  <si>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</si>
  <si>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</si>
  <si>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</si>
  <si>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</si>
  <si>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</si>
  <si>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</si>
  <si>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</si>
  <si>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</si>
  <si>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</si>
  <si>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</si>
  <si>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</si>
  <si>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</si>
  <si>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</si>
  <si>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</si>
  <si>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</si>
  <si>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</si>
  <si>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</si>
  <si>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</si>
  <si>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</si>
  <si>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</si>
  <si>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</si>
  <si>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</si>
  <si>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</si>
  <si>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</si>
  <si>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</si>
  <si>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</si>
  <si>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</si>
  <si>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</si>
  <si>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</si>
  <si>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</si>
  <si>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</si>
  <si>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</si>
  <si>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</si>
  <si>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</si>
  <si>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</si>
  <si>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</si>
  <si>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</si>
  <si>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</si>
  <si>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</si>
  <si>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</si>
  <si>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</si>
  <si>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</si>
  <si>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</si>
  <si>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</si>
  <si>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</si>
  <si>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</si>
  <si>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</si>
  <si>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</si>
  <si>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</si>
  <si>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</si>
  <si>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</si>
  <si>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</si>
  <si>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</si>
  <si>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</si>
  <si>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</si>
  <si>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</si>
  <si>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</si>
  <si>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</si>
  <si>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</si>
  <si>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</si>
  <si>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</si>
  <si>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</si>
  <si>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</si>
  <si>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</si>
  <si>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</si>
  <si>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</si>
  <si>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</si>
  <si>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</si>
  <si>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</si>
  <si>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</si>
  <si>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</si>
  <si>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</si>
  <si>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</si>
  <si>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</si>
  <si>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</si>
  <si>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</si>
  <si>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</si>
  <si>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</si>
  <si>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</si>
  <si>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</si>
  <si>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</si>
  <si>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</si>
  <si>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</si>
  <si>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</si>
  <si>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</si>
  <si>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</si>
  <si>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</si>
  <si>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</si>
  <si>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</si>
  <si>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</si>
  <si>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</si>
  <si>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</si>
  <si>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</si>
  <si>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</si>
  <si>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</si>
  <si>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</si>
  <si>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</si>
  <si>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</si>
  <si>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</si>
  <si>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</si>
  <si>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</si>
  <si>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</si>
  <si>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</si>
  <si>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</si>
  <si>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</si>
  <si>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</si>
  <si>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</si>
  <si>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</si>
  <si>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</si>
  <si>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</si>
  <si>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</si>
  <si>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</si>
  <si>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</si>
  <si>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</si>
  <si>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</si>
  <si>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</si>
  <si>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</si>
  <si>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</si>
  <si>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</si>
  <si>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</si>
  <si>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</si>
  <si>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</si>
  <si>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</si>
  <si>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</si>
  <si>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</si>
  <si>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</si>
  <si>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</si>
  <si>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</si>
  <si>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</si>
  <si>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</si>
  <si>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</si>
  <si>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</si>
  <si>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</si>
  <si>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</si>
  <si>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</si>
  <si>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</si>
  <si>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</si>
  <si>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</si>
  <si>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</si>
  <si>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</si>
  <si>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</si>
  <si>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</si>
  <si>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</si>
  <si>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</si>
  <si>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</si>
  <si>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</si>
  <si>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</si>
  <si>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</si>
  <si>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</si>
  <si>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</si>
  <si>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</si>
  <si>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</si>
  <si>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</si>
  <si>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</si>
  <si>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</si>
  <si>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</si>
  <si>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</si>
  <si>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</si>
  <si>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</si>
  <si>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</si>
  <si>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</si>
  <si>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</si>
  <si>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</si>
  <si>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</si>
  <si>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</si>
  <si>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</si>
  <si>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</si>
  <si>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</si>
  <si>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</si>
  <si>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</si>
  <si>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</si>
  <si>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</si>
  <si>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</si>
  <si>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</si>
  <si>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</si>
  <si>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</si>
  <si>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</si>
  <si>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</si>
  <si>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</si>
  <si>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</si>
  <si>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</si>
  <si>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</si>
  <si>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</si>
  <si>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</si>
  <si>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</si>
  <si>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</si>
  <si>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</si>
  <si>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</si>
  <si>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</si>
  <si>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</si>
  <si>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</si>
  <si>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</si>
  <si>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</si>
  <si>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</si>
  <si>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</si>
  <si>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</si>
  <si>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</si>
  <si>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</si>
  <si>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</si>
  <si>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</si>
  <si>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</si>
  <si>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</si>
  <si>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</si>
  <si>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</si>
  <si>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</si>
  <si>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</si>
  <si>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</si>
  <si>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</si>
  <si>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</si>
  <si>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</si>
  <si>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</si>
  <si>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</si>
  <si>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</si>
  <si>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</si>
  <si>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</si>
  <si>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</si>
  <si>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</si>
  <si>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</si>
  <si>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</si>
  <si>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</si>
  <si>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</si>
  <si>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</si>
  <si>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</si>
  <si>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</si>
  <si>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</si>
  <si>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</si>
  <si>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</si>
  <si>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</si>
  <si>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</si>
  <si>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</si>
  <si>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</si>
  <si>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</si>
  <si>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</si>
  <si>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</si>
  <si>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</si>
  <si>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</si>
  <si>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</si>
  <si>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</si>
  <si>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</si>
  <si>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</si>
  <si>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</si>
  <si>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</si>
  <si>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</si>
  <si>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</si>
  <si>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</si>
  <si>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</si>
  <si>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</si>
  <si>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</si>
  <si>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</si>
  <si>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</si>
  <si>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</si>
  <si>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</si>
  <si>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</si>
  <si>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</si>
  <si>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</si>
  <si>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</si>
  <si>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</si>
  <si>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</si>
  <si>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</si>
  <si>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</si>
  <si>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</si>
  <si>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</si>
  <si>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</si>
  <si>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</si>
  <si>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</si>
  <si>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</si>
  <si>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</si>
  <si>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</si>
  <si>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</si>
  <si>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</si>
  <si>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</si>
  <si>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</si>
  <si>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</si>
  <si>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</si>
  <si>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</si>
  <si>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</si>
  <si>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</si>
  <si>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</si>
  <si>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</si>
  <si>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</si>
  <si>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</si>
  <si>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</si>
  <si>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</si>
  <si>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</si>
  <si>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</si>
  <si>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</si>
  <si>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</si>
  <si>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</si>
  <si>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</si>
  <si>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</si>
  <si>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</si>
  <si>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</si>
  <si>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</si>
  <si>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</si>
  <si>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</si>
  <si>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</si>
  <si>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</si>
  <si>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</si>
  <si>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</si>
  <si>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</si>
  <si>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</si>
  <si>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</si>
  <si>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</si>
  <si>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</si>
  <si>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</si>
  <si>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</si>
  <si>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</si>
  <si>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</si>
  <si>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</si>
  <si>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</si>
  <si>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</si>
  <si>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</si>
  <si>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</si>
  <si>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</si>
  <si>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</si>
  <si>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</si>
  <si>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</si>
  <si>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</si>
  <si>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</si>
  <si>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</si>
  <si>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</si>
  <si>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</si>
  <si>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</si>
  <si>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</si>
  <si>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</si>
  <si>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</si>
  <si>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</si>
  <si>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</si>
  <si>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</si>
  <si>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</si>
  <si>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</si>
  <si>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</si>
  <si>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</si>
  <si>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</si>
  <si>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</si>
  <si>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</si>
  <si>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</si>
  <si>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</si>
  <si>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</si>
  <si>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</si>
  <si>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</si>
  <si>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</si>
  <si>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</si>
  <si>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</si>
  <si>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</si>
  <si>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</si>
  <si>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</si>
  <si>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</si>
  <si>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</si>
  <si>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</si>
  <si>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</si>
  <si>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</si>
  <si>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</si>
  <si>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</si>
  <si>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</si>
  <si>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</si>
  <si>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</si>
  <si>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</si>
  <si>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</si>
  <si>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</si>
  <si>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</si>
  <si>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</si>
  <si>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</si>
  <si>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</si>
  <si>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</si>
  <si>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</si>
  <si>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</si>
  <si>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</si>
  <si>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</si>
  <si>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</si>
  <si>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</si>
  <si>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</si>
  <si>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</si>
  <si>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</si>
  <si>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</si>
  <si>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</si>
  <si>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</si>
  <si>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</si>
  <si>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</si>
  <si>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</si>
  <si>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</si>
  <si>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</si>
  <si>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</si>
  <si>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</si>
  <si>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</si>
  <si>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</si>
  <si>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</si>
  <si>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</si>
  <si>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</si>
  <si>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</si>
  <si>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</si>
  <si>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</si>
  <si>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</si>
  <si>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</si>
  <si>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</si>
  <si>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</si>
  <si>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</si>
  <si>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</si>
  <si>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</si>
  <si>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</si>
  <si>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</si>
  <si>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</si>
  <si>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</si>
  <si>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</si>
  <si>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</si>
  <si>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</si>
  <si>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</si>
  <si>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</si>
  <si>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</si>
  <si>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</si>
  <si>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</si>
  <si>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</si>
  <si>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</si>
  <si>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</si>
  <si>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</si>
  <si>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</si>
  <si>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</si>
  <si>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</si>
  <si>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</si>
  <si>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</si>
  <si>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</si>
  <si>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</si>
  <si>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</si>
  <si>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</si>
  <si>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</si>
  <si>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</si>
  <si>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</si>
  <si>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</si>
  <si>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</si>
  <si>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</si>
  <si>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</si>
  <si>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</si>
  <si>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</si>
  <si>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</si>
  <si>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</si>
  <si>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</si>
  <si>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</si>
  <si>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</si>
  <si>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</si>
  <si>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</si>
  <si>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</si>
  <si>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</si>
  <si>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</si>
  <si>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</si>
  <si>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</si>
  <si>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</si>
  <si>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</si>
  <si>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</si>
  <si>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</si>
  <si>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</si>
  <si>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</si>
  <si>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</si>
  <si>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</si>
  <si>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</si>
  <si>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</si>
  <si>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</si>
  <si>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</si>
  <si>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</si>
  <si>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</si>
  <si>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</si>
  <si>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</si>
  <si>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</si>
  <si>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</si>
  <si>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</si>
  <si>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</si>
  <si>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</si>
  <si>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</si>
  <si>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</si>
  <si>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</si>
  <si>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</si>
  <si>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</si>
  <si>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</si>
  <si>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</si>
  <si>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</si>
  <si>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</si>
  <si>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</si>
  <si>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</si>
  <si>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</si>
  <si>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</si>
  <si>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</si>
  <si>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</si>
  <si>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</si>
  <si>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</si>
  <si>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</si>
  <si>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</si>
  <si>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</si>
  <si>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</si>
  <si>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</si>
  <si>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</si>
  <si>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</si>
  <si>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</si>
  <si>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</si>
  <si>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</si>
  <si>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</si>
  <si>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</si>
  <si>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</si>
  <si>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</si>
  <si>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</si>
  <si>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</si>
  <si>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</si>
  <si>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</si>
  <si>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</si>
  <si>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</si>
  <si>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</si>
  <si>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</si>
  <si>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</si>
  <si>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</si>
  <si>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</si>
  <si>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</si>
  <si>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</si>
  <si>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</si>
  <si>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</si>
  <si>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</si>
  <si>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</si>
  <si>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</si>
  <si>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</si>
  <si>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</si>
  <si>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</si>
  <si>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</si>
  <si>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</si>
  <si>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</si>
  <si>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</si>
  <si>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</si>
  <si>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</si>
  <si>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</si>
  <si>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</si>
  <si>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</si>
  <si>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</si>
  <si>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</si>
  <si>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</si>
  <si>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</si>
  <si>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</si>
  <si>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</si>
  <si>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</si>
  <si>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</si>
  <si>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</si>
  <si>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</si>
  <si>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</si>
  <si>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</si>
  <si>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</si>
  <si>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</si>
  <si>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</si>
  <si>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</si>
  <si>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</si>
  <si>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</si>
  <si>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</si>
  <si>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</si>
  <si>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</si>
  <si>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</si>
  <si>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</si>
  <si>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</si>
  <si>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</si>
  <si>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</si>
  <si>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</si>
  <si>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</si>
  <si>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</si>
  <si>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</si>
  <si>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</si>
  <si>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</si>
  <si>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</si>
  <si>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</si>
  <si>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</si>
  <si>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</si>
  <si>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</si>
  <si>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</si>
  <si>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</si>
  <si>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</si>
  <si>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</si>
  <si>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</si>
  <si>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</si>
  <si>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</si>
  <si>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</si>
  <si>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</si>
  <si>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</si>
  <si>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</si>
  <si>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</si>
  <si>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</si>
  <si>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</si>
  <si>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</si>
  <si>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</si>
  <si>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</si>
  <si>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</si>
  <si>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</si>
  <si>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</si>
  <si>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</si>
  <si>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</si>
  <si>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</si>
  <si>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</si>
  <si>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</si>
  <si>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</si>
  <si>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</si>
  <si>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</si>
  <si>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</si>
  <si>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</si>
  <si>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</si>
  <si>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</si>
  <si>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</si>
  <si>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</si>
  <si>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</si>
  <si>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</si>
  <si>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</si>
  <si>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</si>
  <si>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</si>
  <si>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</si>
  <si>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</si>
  <si>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</si>
  <si>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</si>
  <si>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</si>
  <si>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</si>
  <si>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</si>
  <si>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</si>
  <si>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</si>
  <si>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</si>
  <si>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</si>
  <si>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</si>
  <si>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</si>
  <si>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</si>
  <si>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</si>
  <si>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</si>
  <si>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</si>
  <si>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</si>
  <si>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</si>
  <si>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</si>
  <si>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</si>
  <si>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</si>
  <si>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</si>
  <si>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</si>
  <si>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</si>
  <si>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</si>
  <si>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</si>
  <si>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</si>
  <si>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</si>
  <si>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</si>
  <si>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</si>
  <si>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</si>
  <si>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</si>
  <si>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</si>
  <si>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</si>
  <si>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</si>
  <si>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</si>
  <si>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</si>
  <si>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</si>
  <si>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</si>
  <si>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</si>
  <si>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</si>
  <si>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</si>
  <si>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</si>
  <si>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</si>
  <si>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</si>
  <si>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</si>
  <si>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</si>
  <si>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</si>
  <si>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</si>
  <si>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</si>
  <si>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</si>
  <si>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</si>
  <si>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</si>
  <si>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</si>
  <si>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</si>
  <si>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</si>
  <si>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</si>
  <si>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</si>
  <si>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</si>
  <si>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</si>
  <si>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</si>
  <si>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</si>
  <si>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</si>
  <si>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</si>
  <si>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</si>
  <si>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</si>
  <si>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</si>
  <si>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</si>
  <si>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</si>
  <si>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</si>
  <si>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</si>
  <si>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</si>
  <si>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</si>
  <si>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</si>
  <si>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</si>
  <si>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</si>
  <si>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</si>
  <si>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</si>
  <si>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</si>
  <si>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</si>
  <si>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</si>
  <si>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</si>
  <si>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</si>
  <si>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</si>
  <si>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</si>
  <si>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</si>
  <si>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</si>
  <si>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</si>
  <si>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</si>
  <si>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</si>
  <si>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</si>
  <si>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</si>
  <si>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</si>
  <si>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</si>
  <si>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</si>
  <si>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</si>
  <si>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</si>
  <si>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</si>
  <si>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</si>
  <si>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</si>
  <si>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</si>
  <si>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</si>
  <si>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</si>
  <si>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</si>
  <si>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</si>
  <si>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</si>
  <si>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</si>
  <si>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</si>
  <si>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</si>
  <si>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</si>
  <si>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</si>
  <si>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</si>
  <si>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</si>
  <si>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</si>
  <si>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</si>
  <si>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</si>
  <si>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</si>
  <si>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</si>
  <si>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</si>
  <si>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</si>
  <si>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</si>
  <si>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</si>
  <si>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</si>
  <si>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</si>
  <si>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</si>
  <si>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</si>
  <si>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</si>
  <si>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</si>
  <si>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</si>
  <si>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</si>
  <si>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</si>
  <si>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</si>
  <si>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</si>
  <si>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</si>
  <si>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</si>
  <si>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</si>
  <si>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</si>
  <si>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</si>
  <si>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</si>
  <si>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</si>
  <si>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</si>
  <si>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</si>
  <si>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</si>
  <si>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</si>
  <si>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</si>
  <si>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</si>
  <si>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</si>
  <si>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</si>
  <si>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</si>
  <si>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</si>
  <si>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</si>
  <si>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</si>
  <si>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</si>
  <si>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</si>
  <si>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</si>
  <si>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</si>
  <si>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</si>
  <si>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</si>
  <si>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</si>
  <si>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</si>
  <si>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</si>
  <si>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</si>
  <si>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</si>
  <si>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</si>
  <si>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</si>
  <si>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</si>
  <si>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</si>
  <si>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</si>
  <si>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</si>
  <si>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</si>
  <si>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</si>
  <si>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</si>
  <si>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</si>
  <si>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</si>
  <si>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</si>
  <si>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</si>
  <si>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</si>
  <si>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</si>
  <si>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</si>
  <si>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</si>
  <si>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</si>
  <si>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</si>
  <si>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</si>
  <si>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</si>
  <si>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</si>
  <si>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</si>
  <si>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</si>
  <si>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</si>
  <si>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</si>
  <si>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</si>
  <si>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</si>
  <si>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</si>
  <si>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</si>
  <si>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</si>
  <si>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</si>
  <si>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</si>
  <si>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</si>
  <si>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</si>
  <si>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</si>
  <si>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</si>
  <si>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</si>
  <si>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</si>
  <si>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</si>
  <si>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</si>
  <si>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</si>
  <si>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</si>
  <si>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</si>
  <si>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</si>
  <si>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</si>
  <si>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</si>
  <si>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</si>
  <si>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</si>
  <si>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</si>
  <si>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</si>
  <si>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</si>
  <si>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</si>
  <si>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</si>
  <si>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</si>
  <si>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</si>
  <si>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</si>
  <si>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</si>
  <si>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</si>
  <si>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</si>
  <si>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</si>
  <si>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</si>
  <si>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</si>
  <si>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</si>
  <si>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</si>
  <si>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</si>
  <si>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</si>
  <si>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</si>
  <si>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</si>
  <si>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</si>
  <si>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</si>
  <si>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</si>
  <si>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</si>
  <si>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</si>
  <si>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</si>
  <si>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</si>
  <si>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</si>
  <si>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</si>
  <si>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</si>
  <si>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</si>
  <si>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</si>
  <si>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</si>
  <si>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</si>
  <si>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</si>
  <si>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</si>
  <si>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</si>
  <si>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</si>
  <si>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</si>
  <si>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</si>
  <si>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</si>
  <si>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</si>
  <si>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</si>
  <si>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</si>
  <si>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</si>
  <si>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</si>
  <si>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</si>
  <si>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</si>
  <si>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</si>
  <si>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</si>
  <si>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</si>
  <si>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</si>
  <si>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</si>
  <si>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</si>
  <si>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</si>
  <si>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</si>
  <si>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</si>
  <si>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</si>
  <si>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</si>
  <si>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</si>
  <si>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</si>
  <si>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</si>
  <si>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</si>
  <si>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</si>
  <si>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</si>
  <si>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</si>
  <si>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</si>
  <si>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</si>
  <si>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</si>
  <si>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</si>
  <si>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</si>
  <si>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</si>
  <si>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</si>
  <si>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</si>
  <si>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</si>
  <si>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</si>
  <si>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</si>
  <si>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</si>
  <si>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</si>
  <si>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</si>
  <si>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</si>
  <si>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</si>
  <si>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</si>
  <si>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</si>
  <si>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</si>
  <si>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</si>
  <si>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</si>
  <si>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</si>
  <si>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</si>
  <si>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</si>
  <si>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</si>
  <si>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</si>
  <si>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</si>
  <si>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</si>
  <si>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</si>
  <si>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</si>
  <si>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</si>
  <si>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</si>
  <si>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</si>
  <si>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</si>
  <si>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</si>
  <si>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</si>
  <si>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</si>
  <si>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</si>
  <si>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</si>
  <si>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</si>
  <si>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</si>
  <si>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</si>
  <si>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</si>
  <si>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</si>
  <si>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</si>
  <si>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</si>
  <si>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</si>
  <si>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</si>
  <si>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</si>
  <si>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</si>
  <si>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</si>
  <si>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</si>
  <si>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</si>
  <si>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</si>
  <si>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</si>
  <si>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</si>
  <si>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</si>
  <si>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</si>
  <si>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</si>
  <si>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</si>
  <si>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</si>
  <si>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</si>
  <si>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</si>
  <si>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</si>
  <si>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</si>
  <si>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</si>
  <si>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</si>
  <si>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</si>
  <si>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</si>
  <si>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</si>
  <si>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</si>
  <si>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</si>
  <si>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</si>
  <si>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</si>
  <si>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</si>
  <si>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</si>
  <si>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</si>
  <si>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</si>
  <si>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</si>
  <si>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</si>
  <si>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</si>
  <si>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</si>
  <si>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</si>
  <si>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</si>
  <si>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</si>
  <si>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</si>
  <si>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</si>
  <si>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</si>
  <si>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</si>
  <si>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</si>
  <si>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</si>
  <si>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</si>
  <si>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</si>
  <si>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</si>
  <si>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</si>
  <si>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</si>
  <si>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</si>
  <si>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</si>
  <si>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</si>
  <si>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</si>
  <si>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</si>
  <si>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</si>
  <si>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</si>
  <si>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</si>
  <si>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</si>
  <si>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</si>
  <si>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</si>
  <si>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</si>
  <si>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</si>
  <si>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</si>
  <si>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</si>
  <si>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</si>
  <si>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</si>
  <si>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</si>
  <si>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</si>
  <si>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</si>
  <si>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</si>
  <si>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</si>
  <si>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</si>
  <si>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</si>
  <si>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</si>
  <si>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</si>
  <si>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</si>
  <si>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</si>
  <si>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</si>
  <si>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</si>
  <si>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</si>
  <si>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</si>
  <si>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</si>
  <si>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</si>
  <si>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</si>
  <si>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</si>
  <si>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</si>
  <si>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</si>
  <si>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</si>
  <si>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</si>
  <si>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</si>
  <si>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</si>
  <si>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</si>
  <si>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</si>
  <si>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</si>
  <si>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</si>
  <si>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</si>
  <si>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</si>
  <si>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</si>
  <si>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</si>
  <si>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</si>
  <si>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</si>
  <si>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</si>
  <si>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</si>
  <si>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</si>
  <si>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</si>
  <si>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</si>
  <si>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</si>
  <si>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</si>
  <si>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</si>
  <si>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</si>
  <si>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</si>
  <si>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</si>
  <si>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</si>
  <si>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</si>
  <si>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</si>
  <si>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</si>
  <si>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</si>
  <si>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</si>
  <si>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</si>
  <si>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</si>
  <si>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</si>
  <si>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</si>
  <si>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</si>
  <si>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</si>
  <si>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</si>
  <si>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</si>
  <si>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</si>
  <si>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</si>
  <si>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</si>
  <si>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</si>
  <si>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</si>
  <si>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</si>
  <si>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</si>
  <si>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</si>
  <si>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</si>
  <si>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</si>
  <si>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</si>
  <si>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</si>
  <si>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</si>
  <si>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</si>
  <si>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</si>
  <si>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</si>
  <si>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</si>
  <si>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</si>
  <si>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</si>
  <si>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</si>
  <si>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</si>
  <si>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</si>
  <si>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</si>
  <si>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</si>
  <si>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</si>
  <si>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بدهی به مهدی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</si>
  <si>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</si>
  <si>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</si>
  <si>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</si>
  <si>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</si>
  <si>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</si>
  <si>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</si>
  <si>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</si>
  <si>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</si>
  <si>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</si>
  <si>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</si>
  <si>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</si>
  <si>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9705 تا 184.6 که 2715 تا حساب مریم و 6990 حساب داریوش</t>
  </si>
  <si>
    <t>وغدیر 5664 تا 184.5 که در حساب داریوش فروش گذاشته ام</t>
  </si>
  <si>
    <t>وغدیر 7012 تا 192.2 که در حساب داریوش سفارش فروش گذاشته ام</t>
  </si>
  <si>
    <t>وغدیر 5661 تا 184.6 حساب سارا</t>
  </si>
  <si>
    <t>وغدیر سارا</t>
  </si>
  <si>
    <t>بدهی به سارا نقدی 4/9</t>
  </si>
  <si>
    <t>بدهی به مهدی 4/9</t>
  </si>
  <si>
    <t>261307622 </t>
  </si>
  <si>
    <t>بدهی به داریوش 5/9</t>
  </si>
  <si>
    <t>5/9/1397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</si>
  <si>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</si>
  <si>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</si>
  <si>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</si>
  <si>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</si>
  <si>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</si>
  <si>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</si>
  <si>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وغدیر 17660 تا 173.4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</si>
  <si>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</si>
  <si>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</si>
  <si>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</si>
  <si>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</si>
  <si>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</si>
  <si>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</si>
  <si>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</si>
  <si>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</si>
  <si>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</si>
  <si>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تبدیل تمام سهمهای جزیی به وغدیر و یا سکه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</si>
  <si>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</si>
  <si>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</si>
  <si>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</si>
  <si>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</si>
  <si>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</si>
  <si>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</si>
  <si>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</si>
  <si>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</si>
  <si>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</si>
  <si>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</si>
  <si>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</si>
  <si>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</si>
  <si>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</si>
  <si>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</si>
  <si>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</si>
  <si>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</si>
  <si>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</si>
  <si>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</si>
  <si>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</si>
  <si>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</si>
  <si>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</si>
  <si>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</si>
  <si>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</si>
  <si>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</si>
  <si>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قیمت هر سهم صندوق</t>
  </si>
  <si>
    <t>تعداد سهام صندوق 9/9/1397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</si>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</sst>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opLeftCell="A22" workbookViewId="0">
      <selection activeCell="E41" sqref="E41"/>
    </sheetView>
  </sheetViews>
  <sheetFormatPr defaultRowHeight="15"/>
  <cols>
    <col min="2" max="2" width="14.85546875" bestFit="1" customWidth="1"/>
    <col min="3" max="3" width="14.140625" bestFit="1" customWidth="1"/>
    <col min="4" max="4" width="15.85546875" bestFit="1" customWidth="1"/>
    <col min="5" max="5" width="34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4464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4473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3893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4483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4494</v>
      </c>
      <c r="B5" s="18">
        <v>1100000</v>
      </c>
      <c r="C5" s="18">
        <v>0</v>
      </c>
      <c r="D5" s="113">
        <f t="shared" si="0"/>
        <v>1100000</v>
      </c>
      <c r="E5" s="20" t="s">
        <v>4339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4502</v>
      </c>
      <c r="B6" s="18">
        <v>3000000</v>
      </c>
      <c r="C6" s="18">
        <v>0</v>
      </c>
      <c r="D6" s="113">
        <f t="shared" si="0"/>
        <v>3000000</v>
      </c>
      <c r="E6" s="19" t="s">
        <v>4503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4347</v>
      </c>
      <c r="B7" s="18">
        <v>0</v>
      </c>
      <c r="C7" s="18">
        <v>0</v>
      </c>
      <c r="D7" s="113">
        <f t="shared" si="0"/>
        <v>0</v>
      </c>
      <c r="E7" s="19"/>
      <c r="F7" s="96">
        <v>0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4347</v>
      </c>
      <c r="B8" s="18">
        <v>0</v>
      </c>
      <c r="C8" s="18">
        <v>0</v>
      </c>
      <c r="D8" s="113">
        <f t="shared" si="0"/>
        <v>0</v>
      </c>
      <c r="E8" s="19"/>
      <c r="F8" s="96">
        <v>0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4354</v>
      </c>
      <c r="B9" s="18">
        <v>0</v>
      </c>
      <c r="C9" s="18">
        <v>0</v>
      </c>
      <c r="D9" s="113">
        <f t="shared" si="0"/>
        <v>0</v>
      </c>
      <c r="E9" s="21"/>
      <c r="F9" s="96">
        <v>0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4367</v>
      </c>
      <c r="B10" s="18">
        <v>0</v>
      </c>
      <c r="C10" s="18">
        <v>0</v>
      </c>
      <c r="D10" s="113">
        <f t="shared" si="0"/>
        <v>0</v>
      </c>
      <c r="E10" s="19"/>
      <c r="F10" s="96">
        <v>0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4367</v>
      </c>
      <c r="B11" s="18">
        <v>0</v>
      </c>
      <c r="C11" s="18">
        <v>0</v>
      </c>
      <c r="D11" s="113">
        <f t="shared" si="0"/>
        <v>0</v>
      </c>
      <c r="E11" s="19"/>
      <c r="F11" s="96">
        <v>0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4368</v>
      </c>
      <c r="B12" s="18">
        <v>0</v>
      </c>
      <c r="C12" s="18">
        <v>0</v>
      </c>
      <c r="D12" s="113">
        <f t="shared" si="0"/>
        <v>0</v>
      </c>
      <c r="E12" s="20"/>
      <c r="F12" s="96">
        <v>0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4368</v>
      </c>
      <c r="B13" s="18">
        <v>0</v>
      </c>
      <c r="C13" s="18">
        <v>0</v>
      </c>
      <c r="D13" s="113">
        <f t="shared" si="0"/>
        <v>0</v>
      </c>
      <c r="E13" s="20"/>
      <c r="F13" s="96">
        <v>0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4387</v>
      </c>
      <c r="B14" s="18">
        <v>0</v>
      </c>
      <c r="C14" s="18">
        <v>0</v>
      </c>
      <c r="D14" s="113">
        <f t="shared" si="0"/>
        <v>0</v>
      </c>
      <c r="E14" s="20"/>
      <c r="F14" s="96">
        <v>0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4390</v>
      </c>
      <c r="B15" s="18">
        <v>0</v>
      </c>
      <c r="C15" s="18">
        <v>0</v>
      </c>
      <c r="D15" s="117">
        <f t="shared" si="0"/>
        <v>0</v>
      </c>
      <c r="E15" s="20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4397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4416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4427</v>
      </c>
      <c r="B18" s="18">
        <v>0</v>
      </c>
      <c r="C18" s="18">
        <v>0</v>
      </c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4427</v>
      </c>
      <c r="B19" s="18">
        <v>0</v>
      </c>
      <c r="C19" s="18">
        <v>0</v>
      </c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4427</v>
      </c>
      <c r="B20" s="18">
        <v>0</v>
      </c>
      <c r="C20" s="18">
        <v>0</v>
      </c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4423</v>
      </c>
      <c r="B21" s="18">
        <v>0</v>
      </c>
      <c r="C21" s="18">
        <v>0</v>
      </c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0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0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0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4116094</v>
      </c>
      <c r="C27" s="113">
        <f>SUM(C2:C26)</f>
        <v>8034286</v>
      </c>
      <c r="D27" s="113">
        <f>SUM(D2:D26)</f>
        <v>-3918192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94282820</v>
      </c>
      <c r="H28" s="18">
        <f>SUM(H2:H26)</f>
        <v>241028580</v>
      </c>
      <c r="I28" s="18">
        <f>SUM(I2:I26)</f>
        <v>-146745760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0</v>
      </c>
      <c r="E33" s="41" t="s">
        <v>4533</v>
      </c>
      <c r="F33" s="96"/>
      <c r="G33" s="18">
        <v>600</v>
      </c>
      <c r="H33" s="18">
        <f>G33*H28/G28</f>
        <v>1533.8653213809259</v>
      </c>
      <c r="I33" s="18">
        <f>G33*I28/G28</f>
        <v>-933.86532138092605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114"/>
      <c r="E34" s="54"/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/>
      <c r="E35" s="54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/>
      <c r="E36" s="54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 t="s">
        <v>25</v>
      </c>
      <c r="E37" s="54" t="s">
        <v>25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96"/>
      <c r="E38" s="54" t="s">
        <v>25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f>SUM(D33:D38)</f>
        <v>0</v>
      </c>
      <c r="E39" s="96" t="s">
        <v>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/>
      <c r="E40" s="41"/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96"/>
      <c r="E41" s="96" t="s">
        <v>25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96"/>
      <c r="E42" s="96" t="s">
        <v>25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96"/>
      <c r="E44" s="96" t="s">
        <v>25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96"/>
      <c r="E45" s="96" t="s">
        <v>25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F51" s="96"/>
      <c r="G51" s="96"/>
      <c r="H51" s="96" t="s">
        <v>25</v>
      </c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F58" s="96"/>
      <c r="G58" s="96" t="s">
        <v>25</v>
      </c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6" sqref="F246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965</v>
      </c>
      <c r="H2" s="36">
        <f>IF(B2&gt;0,1,0)</f>
        <v>1</v>
      </c>
      <c r="I2" s="11">
        <f>B2*(G2-H2)</f>
        <v>16098800</v>
      </c>
      <c r="J2" s="53">
        <f>C2*(G2-H2)</f>
        <v>16098800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964</v>
      </c>
      <c r="H3" s="36">
        <f t="shared" ref="H3:H66" si="2">IF(B3&gt;0,1,0)</f>
        <v>1</v>
      </c>
      <c r="I3" s="11">
        <f t="shared" ref="I3:I66" si="3">B3*(G3-H3)</f>
        <v>19163700000</v>
      </c>
      <c r="J3" s="53">
        <f t="shared" ref="J3:J66" si="4">C3*(G3-H3)</f>
        <v>10965681000</v>
      </c>
      <c r="K3" s="53">
        <f t="shared" ref="K3:K66" si="5">D3*(G3-H3)</f>
        <v>8198019000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964</v>
      </c>
      <c r="H4" s="36">
        <f t="shared" si="2"/>
        <v>0</v>
      </c>
      <c r="I4" s="11">
        <f t="shared" si="3"/>
        <v>0</v>
      </c>
      <c r="J4" s="53">
        <f t="shared" si="4"/>
        <v>8194000</v>
      </c>
      <c r="K4" s="53">
        <f t="shared" si="5"/>
        <v>-8194000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962</v>
      </c>
      <c r="H5" s="36">
        <f t="shared" si="2"/>
        <v>1</v>
      </c>
      <c r="I5" s="11">
        <f t="shared" si="3"/>
        <v>1922000000</v>
      </c>
      <c r="J5" s="53">
        <f t="shared" si="4"/>
        <v>0</v>
      </c>
      <c r="K5" s="53">
        <f t="shared" si="5"/>
        <v>1922000000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955</v>
      </c>
      <c r="H6" s="36">
        <f t="shared" si="2"/>
        <v>0</v>
      </c>
      <c r="I6" s="11">
        <f t="shared" si="3"/>
        <v>-4775000</v>
      </c>
      <c r="J6" s="53">
        <f t="shared" si="4"/>
        <v>0</v>
      </c>
      <c r="K6" s="53">
        <f t="shared" si="5"/>
        <v>-4775000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951</v>
      </c>
      <c r="H7" s="36">
        <f t="shared" si="2"/>
        <v>0</v>
      </c>
      <c r="I7" s="11">
        <f t="shared" si="3"/>
        <v>-1141675500</v>
      </c>
      <c r="J7" s="53">
        <f t="shared" si="4"/>
        <v>0</v>
      </c>
      <c r="K7" s="53">
        <f t="shared" si="5"/>
        <v>-1141675500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950</v>
      </c>
      <c r="H8" s="36">
        <f t="shared" si="2"/>
        <v>0</v>
      </c>
      <c r="I8" s="11">
        <f t="shared" si="3"/>
        <v>-190000000</v>
      </c>
      <c r="J8" s="53">
        <f t="shared" si="4"/>
        <v>0</v>
      </c>
      <c r="K8" s="53">
        <f t="shared" si="5"/>
        <v>-190000000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948</v>
      </c>
      <c r="H9" s="36">
        <f t="shared" si="2"/>
        <v>0</v>
      </c>
      <c r="I9" s="11">
        <f t="shared" si="3"/>
        <v>-668814000</v>
      </c>
      <c r="J9" s="53">
        <f t="shared" si="4"/>
        <v>0</v>
      </c>
      <c r="K9" s="53">
        <f t="shared" si="5"/>
        <v>-668814000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939</v>
      </c>
      <c r="H10" s="36">
        <f t="shared" si="2"/>
        <v>0</v>
      </c>
      <c r="I10" s="11">
        <f t="shared" si="3"/>
        <v>-187800000</v>
      </c>
      <c r="J10" s="53">
        <f t="shared" si="4"/>
        <v>0</v>
      </c>
      <c r="K10" s="53">
        <f t="shared" si="5"/>
        <v>-187800000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939</v>
      </c>
      <c r="H11" s="36">
        <f t="shared" si="2"/>
        <v>1</v>
      </c>
      <c r="I11" s="11">
        <f t="shared" si="3"/>
        <v>938000000</v>
      </c>
      <c r="J11" s="53">
        <f t="shared" si="4"/>
        <v>0</v>
      </c>
      <c r="K11" s="53">
        <f t="shared" si="5"/>
        <v>938000000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935</v>
      </c>
      <c r="H12" s="36">
        <f t="shared" si="2"/>
        <v>0</v>
      </c>
      <c r="I12" s="11">
        <f t="shared" si="3"/>
        <v>-280500000</v>
      </c>
      <c r="J12" s="53">
        <f t="shared" si="4"/>
        <v>0</v>
      </c>
      <c r="K12" s="53">
        <f t="shared" si="5"/>
        <v>-280500000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930</v>
      </c>
      <c r="H13" s="36">
        <f t="shared" si="2"/>
        <v>0</v>
      </c>
      <c r="I13" s="11">
        <f t="shared" si="3"/>
        <v>-57660000</v>
      </c>
      <c r="J13" s="53">
        <f t="shared" si="4"/>
        <v>0</v>
      </c>
      <c r="K13" s="53">
        <f t="shared" si="5"/>
        <v>-57660000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930</v>
      </c>
      <c r="H14" s="36">
        <f t="shared" si="2"/>
        <v>1</v>
      </c>
      <c r="I14" s="11">
        <f t="shared" si="3"/>
        <v>1858000000</v>
      </c>
      <c r="J14" s="53">
        <f t="shared" si="4"/>
        <v>0</v>
      </c>
      <c r="K14" s="53">
        <f t="shared" si="5"/>
        <v>1858000000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929</v>
      </c>
      <c r="H15" s="36">
        <f t="shared" si="2"/>
        <v>1</v>
      </c>
      <c r="I15" s="11">
        <f t="shared" si="3"/>
        <v>1670400000</v>
      </c>
      <c r="J15" s="53">
        <f t="shared" si="4"/>
        <v>0</v>
      </c>
      <c r="K15" s="53">
        <f t="shared" si="5"/>
        <v>1670400000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929</v>
      </c>
      <c r="H16" s="36">
        <f t="shared" si="2"/>
        <v>0</v>
      </c>
      <c r="I16" s="11">
        <f t="shared" si="3"/>
        <v>-185800000</v>
      </c>
      <c r="J16" s="53">
        <f t="shared" si="4"/>
        <v>0</v>
      </c>
      <c r="K16" s="53">
        <f t="shared" si="5"/>
        <v>-185800000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925</v>
      </c>
      <c r="H17" s="36">
        <f t="shared" si="2"/>
        <v>0</v>
      </c>
      <c r="I17" s="11">
        <f t="shared" si="3"/>
        <v>-1850000000</v>
      </c>
      <c r="J17" s="53">
        <f t="shared" si="4"/>
        <v>0</v>
      </c>
      <c r="K17" s="53">
        <f t="shared" si="5"/>
        <v>-1850000000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924</v>
      </c>
      <c r="H18" s="36">
        <f t="shared" si="2"/>
        <v>0</v>
      </c>
      <c r="I18" s="11">
        <f t="shared" si="3"/>
        <v>-277200000</v>
      </c>
      <c r="J18" s="53">
        <f t="shared" si="4"/>
        <v>0</v>
      </c>
      <c r="K18" s="53">
        <f t="shared" si="5"/>
        <v>-277200000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923</v>
      </c>
      <c r="H19" s="36">
        <f t="shared" si="2"/>
        <v>0</v>
      </c>
      <c r="I19" s="11">
        <f t="shared" si="3"/>
        <v>-184600000</v>
      </c>
      <c r="J19" s="53">
        <f t="shared" si="4"/>
        <v>0</v>
      </c>
      <c r="K19" s="53">
        <f t="shared" si="5"/>
        <v>-184600000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921</v>
      </c>
      <c r="H20" s="36">
        <f t="shared" si="2"/>
        <v>1</v>
      </c>
      <c r="I20" s="11">
        <f t="shared" si="3"/>
        <v>249401880</v>
      </c>
      <c r="J20" s="53">
        <f t="shared" si="4"/>
        <v>135655840</v>
      </c>
      <c r="K20" s="53">
        <f t="shared" si="5"/>
        <v>113746040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919</v>
      </c>
      <c r="H21" s="36">
        <f t="shared" si="2"/>
        <v>0</v>
      </c>
      <c r="I21" s="11">
        <f t="shared" si="3"/>
        <v>-1383738300</v>
      </c>
      <c r="J21" s="53">
        <f t="shared" si="4"/>
        <v>0</v>
      </c>
      <c r="K21" s="53">
        <f t="shared" si="5"/>
        <v>-1383738300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916</v>
      </c>
      <c r="H22" s="36">
        <f t="shared" si="2"/>
        <v>1</v>
      </c>
      <c r="I22" s="11">
        <f t="shared" si="3"/>
        <v>2745000000</v>
      </c>
      <c r="J22" s="53">
        <f t="shared" si="4"/>
        <v>0</v>
      </c>
      <c r="K22" s="53">
        <f t="shared" si="5"/>
        <v>2745000000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915</v>
      </c>
      <c r="H23" s="36">
        <f t="shared" si="2"/>
        <v>1</v>
      </c>
      <c r="I23" s="11">
        <f t="shared" si="3"/>
        <v>914000000</v>
      </c>
      <c r="J23" s="53">
        <f t="shared" si="4"/>
        <v>0</v>
      </c>
      <c r="K23" s="53">
        <f t="shared" si="5"/>
        <v>914000000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914</v>
      </c>
      <c r="H24" s="36">
        <f t="shared" si="2"/>
        <v>0</v>
      </c>
      <c r="I24" s="11">
        <f t="shared" si="3"/>
        <v>-2742822600</v>
      </c>
      <c r="J24" s="53">
        <f t="shared" si="4"/>
        <v>0</v>
      </c>
      <c r="K24" s="53">
        <f t="shared" si="5"/>
        <v>-2742822600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899</v>
      </c>
      <c r="H25" s="36">
        <f t="shared" si="2"/>
        <v>1</v>
      </c>
      <c r="I25" s="11">
        <f t="shared" si="3"/>
        <v>1347000000</v>
      </c>
      <c r="J25" s="53">
        <f t="shared" si="4"/>
        <v>0</v>
      </c>
      <c r="K25" s="53">
        <f t="shared" si="5"/>
        <v>1347000000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891</v>
      </c>
      <c r="H26" s="36">
        <f t="shared" si="2"/>
        <v>0</v>
      </c>
      <c r="I26" s="11">
        <f t="shared" si="3"/>
        <v>-146124000</v>
      </c>
      <c r="J26" s="53">
        <f t="shared" si="4"/>
        <v>0</v>
      </c>
      <c r="K26" s="53">
        <f t="shared" si="5"/>
        <v>-146124000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890</v>
      </c>
      <c r="H27" s="36">
        <f t="shared" si="2"/>
        <v>1</v>
      </c>
      <c r="I27" s="11">
        <f t="shared" si="3"/>
        <v>177260377</v>
      </c>
      <c r="J27" s="53">
        <f t="shared" si="4"/>
        <v>95490157</v>
      </c>
      <c r="K27" s="53">
        <f t="shared" si="5"/>
        <v>81770220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888</v>
      </c>
      <c r="H28" s="36">
        <f t="shared" si="2"/>
        <v>0</v>
      </c>
      <c r="I28" s="11">
        <f t="shared" si="3"/>
        <v>-196248000</v>
      </c>
      <c r="J28" s="53">
        <f t="shared" si="4"/>
        <v>-196248000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888</v>
      </c>
      <c r="H29" s="36">
        <f t="shared" si="2"/>
        <v>0</v>
      </c>
      <c r="I29" s="11">
        <f t="shared" si="3"/>
        <v>-444444000</v>
      </c>
      <c r="J29" s="53">
        <f t="shared" si="4"/>
        <v>0</v>
      </c>
      <c r="K29" s="53">
        <f t="shared" si="5"/>
        <v>-444444000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888</v>
      </c>
      <c r="H30" s="36">
        <f t="shared" si="2"/>
        <v>0</v>
      </c>
      <c r="I30" s="11">
        <f t="shared" si="3"/>
        <v>-13320000000</v>
      </c>
      <c r="J30" s="53">
        <f t="shared" si="4"/>
        <v>-13320000000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871</v>
      </c>
      <c r="H31" s="36">
        <f t="shared" si="2"/>
        <v>0</v>
      </c>
      <c r="I31" s="11">
        <f t="shared" si="3"/>
        <v>-2622493900</v>
      </c>
      <c r="J31" s="53">
        <f t="shared" si="4"/>
        <v>0</v>
      </c>
      <c r="K31" s="53">
        <f t="shared" si="5"/>
        <v>-2622493900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869</v>
      </c>
      <c r="H32" s="36">
        <f t="shared" si="2"/>
        <v>0</v>
      </c>
      <c r="I32" s="11">
        <f t="shared" si="3"/>
        <v>-2612127100</v>
      </c>
      <c r="J32" s="53">
        <f t="shared" si="4"/>
        <v>0</v>
      </c>
      <c r="K32" s="53">
        <f t="shared" si="5"/>
        <v>-2612127100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868</v>
      </c>
      <c r="H33" s="36">
        <f t="shared" si="2"/>
        <v>0</v>
      </c>
      <c r="I33" s="11">
        <f t="shared" si="3"/>
        <v>-777294000</v>
      </c>
      <c r="J33" s="53">
        <f t="shared" si="4"/>
        <v>0</v>
      </c>
      <c r="K33" s="53">
        <f t="shared" si="5"/>
        <v>-777294000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868</v>
      </c>
      <c r="H34" s="36">
        <f t="shared" si="2"/>
        <v>0</v>
      </c>
      <c r="I34" s="11">
        <f t="shared" si="3"/>
        <v>0</v>
      </c>
      <c r="J34" s="53">
        <f t="shared" si="4"/>
        <v>868000000</v>
      </c>
      <c r="K34" s="53">
        <f t="shared" si="5"/>
        <v>-868000000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859</v>
      </c>
      <c r="H35" s="36">
        <f t="shared" si="2"/>
        <v>1</v>
      </c>
      <c r="I35" s="11">
        <f t="shared" si="3"/>
        <v>45020976</v>
      </c>
      <c r="J35" s="53">
        <f t="shared" si="4"/>
        <v>-18586854</v>
      </c>
      <c r="K35" s="53">
        <f t="shared" si="5"/>
        <v>63607830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859</v>
      </c>
      <c r="H36" s="36">
        <f t="shared" si="2"/>
        <v>0</v>
      </c>
      <c r="I36" s="11">
        <f t="shared" si="3"/>
        <v>0</v>
      </c>
      <c r="J36" s="53">
        <f t="shared" si="4"/>
        <v>18608517</v>
      </c>
      <c r="K36" s="53">
        <f t="shared" si="5"/>
        <v>-18608517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849</v>
      </c>
      <c r="H37" s="36">
        <f t="shared" si="2"/>
        <v>0</v>
      </c>
      <c r="I37" s="11">
        <f t="shared" si="3"/>
        <v>-46695000</v>
      </c>
      <c r="J37" s="53">
        <f t="shared" si="4"/>
        <v>0</v>
      </c>
      <c r="K37" s="53">
        <f t="shared" si="5"/>
        <v>-46695000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848</v>
      </c>
      <c r="H38" s="36">
        <f t="shared" si="2"/>
        <v>1</v>
      </c>
      <c r="I38" s="11">
        <f t="shared" si="3"/>
        <v>2541000000</v>
      </c>
      <c r="J38" s="53">
        <f t="shared" si="4"/>
        <v>2541000000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847</v>
      </c>
      <c r="H39" s="36">
        <f t="shared" si="2"/>
        <v>1</v>
      </c>
      <c r="I39" s="11">
        <f t="shared" si="3"/>
        <v>2115000000</v>
      </c>
      <c r="J39" s="53">
        <f t="shared" si="4"/>
        <v>2115000000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847</v>
      </c>
      <c r="H40" s="36">
        <f t="shared" si="2"/>
        <v>0</v>
      </c>
      <c r="I40" s="11">
        <f t="shared" si="3"/>
        <v>-42350000</v>
      </c>
      <c r="J40" s="53">
        <f t="shared" si="4"/>
        <v>0</v>
      </c>
      <c r="K40" s="53">
        <f t="shared" si="5"/>
        <v>-42350000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847</v>
      </c>
      <c r="H41" s="36">
        <f t="shared" si="2"/>
        <v>1</v>
      </c>
      <c r="I41" s="11">
        <f t="shared" si="3"/>
        <v>2538000000</v>
      </c>
      <c r="J41" s="53">
        <f t="shared" si="4"/>
        <v>0</v>
      </c>
      <c r="K41" s="53">
        <f t="shared" si="5"/>
        <v>2538000000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844</v>
      </c>
      <c r="H42" s="36">
        <f t="shared" si="2"/>
        <v>0</v>
      </c>
      <c r="I42" s="11">
        <f t="shared" si="3"/>
        <v>-75284800</v>
      </c>
      <c r="J42" s="53">
        <f t="shared" si="4"/>
        <v>0</v>
      </c>
      <c r="K42" s="53">
        <f t="shared" si="5"/>
        <v>-75284800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840</v>
      </c>
      <c r="H43" s="36">
        <f t="shared" si="2"/>
        <v>0</v>
      </c>
      <c r="I43" s="11">
        <f t="shared" si="3"/>
        <v>-168000000</v>
      </c>
      <c r="J43" s="53">
        <f t="shared" si="4"/>
        <v>0</v>
      </c>
      <c r="K43" s="53">
        <f t="shared" si="5"/>
        <v>-168000000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838</v>
      </c>
      <c r="H44" s="36">
        <f t="shared" si="2"/>
        <v>0</v>
      </c>
      <c r="I44" s="11">
        <f t="shared" si="3"/>
        <v>-167600000</v>
      </c>
      <c r="J44" s="53">
        <f t="shared" si="4"/>
        <v>0</v>
      </c>
      <c r="K44" s="53">
        <f t="shared" si="5"/>
        <v>-167600000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838</v>
      </c>
      <c r="H45" s="36">
        <f t="shared" si="2"/>
        <v>0</v>
      </c>
      <c r="I45" s="11">
        <f t="shared" si="3"/>
        <v>-469280000</v>
      </c>
      <c r="J45" s="53">
        <f t="shared" si="4"/>
        <v>0</v>
      </c>
      <c r="K45" s="53">
        <f t="shared" si="5"/>
        <v>-469280000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834</v>
      </c>
      <c r="H46" s="36">
        <f t="shared" si="2"/>
        <v>0</v>
      </c>
      <c r="I46" s="11">
        <f t="shared" si="3"/>
        <v>-588387000</v>
      </c>
      <c r="J46" s="53">
        <f t="shared" si="4"/>
        <v>0</v>
      </c>
      <c r="K46" s="53">
        <f t="shared" si="5"/>
        <v>-588387000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828</v>
      </c>
      <c r="H47" s="36">
        <f t="shared" si="2"/>
        <v>1</v>
      </c>
      <c r="I47" s="11">
        <f t="shared" si="3"/>
        <v>34075708</v>
      </c>
      <c r="J47" s="53">
        <f t="shared" si="4"/>
        <v>5551651</v>
      </c>
      <c r="K47" s="53">
        <f t="shared" si="5"/>
        <v>28524057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828</v>
      </c>
      <c r="H48" s="36">
        <f t="shared" si="2"/>
        <v>1</v>
      </c>
      <c r="I48" s="11">
        <f t="shared" si="3"/>
        <v>1409786900</v>
      </c>
      <c r="J48" s="53">
        <f t="shared" si="4"/>
        <v>0</v>
      </c>
      <c r="K48" s="53">
        <f t="shared" si="5"/>
        <v>1409786900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819</v>
      </c>
      <c r="H49" s="36">
        <f t="shared" si="2"/>
        <v>0</v>
      </c>
      <c r="I49" s="11">
        <f t="shared" si="3"/>
        <v>-126945000</v>
      </c>
      <c r="J49" s="53">
        <f t="shared" si="4"/>
        <v>0</v>
      </c>
      <c r="K49" s="53">
        <f t="shared" si="5"/>
        <v>-126945000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819</v>
      </c>
      <c r="H50" s="36">
        <f t="shared" si="2"/>
        <v>0</v>
      </c>
      <c r="I50" s="11">
        <f t="shared" si="3"/>
        <v>-113022000</v>
      </c>
      <c r="J50" s="53">
        <f t="shared" si="4"/>
        <v>0</v>
      </c>
      <c r="K50" s="53">
        <f t="shared" si="5"/>
        <v>-113022000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819</v>
      </c>
      <c r="H51" s="36">
        <f t="shared" si="2"/>
        <v>0</v>
      </c>
      <c r="I51" s="11">
        <f t="shared" si="3"/>
        <v>-606060000</v>
      </c>
      <c r="J51" s="53">
        <f t="shared" si="4"/>
        <v>0</v>
      </c>
      <c r="K51" s="53">
        <f t="shared" si="5"/>
        <v>-606060000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819</v>
      </c>
      <c r="H52" s="36">
        <f t="shared" si="2"/>
        <v>0</v>
      </c>
      <c r="I52" s="11">
        <f t="shared" si="3"/>
        <v>-163800000</v>
      </c>
      <c r="J52" s="53">
        <f t="shared" si="4"/>
        <v>0</v>
      </c>
      <c r="K52" s="53">
        <f t="shared" si="5"/>
        <v>-163800000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818</v>
      </c>
      <c r="H53" s="36">
        <f t="shared" si="2"/>
        <v>0</v>
      </c>
      <c r="I53" s="11">
        <f t="shared" si="3"/>
        <v>-862990000</v>
      </c>
      <c r="J53" s="53">
        <f t="shared" si="4"/>
        <v>0</v>
      </c>
      <c r="K53" s="53">
        <f t="shared" si="5"/>
        <v>-862990000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818</v>
      </c>
      <c r="H54" s="36">
        <f t="shared" si="2"/>
        <v>0</v>
      </c>
      <c r="I54" s="11">
        <f t="shared" si="3"/>
        <v>-163600000</v>
      </c>
      <c r="J54" s="53">
        <f t="shared" si="4"/>
        <v>0</v>
      </c>
      <c r="K54" s="53">
        <f t="shared" si="5"/>
        <v>-163600000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818</v>
      </c>
      <c r="H55" s="36">
        <f t="shared" si="2"/>
        <v>0</v>
      </c>
      <c r="I55" s="11">
        <f t="shared" si="3"/>
        <v>-818409000</v>
      </c>
      <c r="J55" s="53">
        <f t="shared" si="4"/>
        <v>0</v>
      </c>
      <c r="K55" s="53">
        <f t="shared" si="5"/>
        <v>-818409000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818</v>
      </c>
      <c r="H56" s="36">
        <f t="shared" si="2"/>
        <v>0</v>
      </c>
      <c r="I56" s="11">
        <f t="shared" si="3"/>
        <v>-31084000</v>
      </c>
      <c r="J56" s="53">
        <f t="shared" si="4"/>
        <v>0</v>
      </c>
      <c r="K56" s="53">
        <f t="shared" si="5"/>
        <v>-31084000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818</v>
      </c>
      <c r="H57" s="36">
        <f t="shared" si="2"/>
        <v>0</v>
      </c>
      <c r="I57" s="11">
        <f t="shared" si="3"/>
        <v>-85890000</v>
      </c>
      <c r="J57" s="53">
        <f t="shared" si="4"/>
        <v>0</v>
      </c>
      <c r="K57" s="53">
        <f t="shared" si="5"/>
        <v>-85890000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818</v>
      </c>
      <c r="H58" s="36">
        <f t="shared" si="2"/>
        <v>0</v>
      </c>
      <c r="I58" s="11">
        <f t="shared" si="3"/>
        <v>-49080000</v>
      </c>
      <c r="J58" s="53">
        <f t="shared" si="4"/>
        <v>0</v>
      </c>
      <c r="K58" s="53">
        <f t="shared" si="5"/>
        <v>-49080000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815</v>
      </c>
      <c r="H59" s="36">
        <f t="shared" si="2"/>
        <v>1</v>
      </c>
      <c r="I59" s="11">
        <f t="shared" si="3"/>
        <v>814000000</v>
      </c>
      <c r="J59" s="53">
        <f t="shared" si="4"/>
        <v>814000000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814</v>
      </c>
      <c r="H60" s="36">
        <f t="shared" si="2"/>
        <v>1</v>
      </c>
      <c r="I60" s="11">
        <f t="shared" si="3"/>
        <v>2845500000</v>
      </c>
      <c r="J60" s="53">
        <f t="shared" si="4"/>
        <v>2845500000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812</v>
      </c>
      <c r="H61" s="36">
        <f t="shared" si="2"/>
        <v>1</v>
      </c>
      <c r="I61" s="11">
        <f t="shared" si="3"/>
        <v>811000000</v>
      </c>
      <c r="J61" s="53">
        <f t="shared" si="4"/>
        <v>811000000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812</v>
      </c>
      <c r="H62" s="36">
        <f t="shared" si="2"/>
        <v>1</v>
      </c>
      <c r="I62" s="11">
        <f t="shared" si="3"/>
        <v>2433000000</v>
      </c>
      <c r="J62" s="53">
        <f t="shared" si="4"/>
        <v>2433000000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810</v>
      </c>
      <c r="H63" s="36">
        <f t="shared" si="2"/>
        <v>0</v>
      </c>
      <c r="I63" s="11">
        <f t="shared" si="3"/>
        <v>-162000000</v>
      </c>
      <c r="J63" s="53">
        <f t="shared" si="4"/>
        <v>0</v>
      </c>
      <c r="K63" s="53">
        <f t="shared" si="5"/>
        <v>-162000000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805</v>
      </c>
      <c r="H64" s="36">
        <f t="shared" si="2"/>
        <v>0</v>
      </c>
      <c r="I64" s="11">
        <f t="shared" si="3"/>
        <v>-40250000</v>
      </c>
      <c r="J64" s="53">
        <f t="shared" si="4"/>
        <v>0</v>
      </c>
      <c r="K64" s="53">
        <f t="shared" si="5"/>
        <v>-40250000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801</v>
      </c>
      <c r="H65" s="36">
        <f t="shared" si="2"/>
        <v>0</v>
      </c>
      <c r="I65" s="11">
        <f t="shared" si="3"/>
        <v>-160200000</v>
      </c>
      <c r="J65" s="53">
        <f t="shared" si="4"/>
        <v>0</v>
      </c>
      <c r="K65" s="53">
        <f t="shared" si="5"/>
        <v>-160200000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798</v>
      </c>
      <c r="H66" s="36">
        <f t="shared" si="2"/>
        <v>0</v>
      </c>
      <c r="I66" s="11">
        <f t="shared" si="3"/>
        <v>-135660000</v>
      </c>
      <c r="J66" s="53">
        <f t="shared" si="4"/>
        <v>0</v>
      </c>
      <c r="K66" s="53">
        <f t="shared" si="5"/>
        <v>-135660000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797</v>
      </c>
      <c r="H67" s="36">
        <f t="shared" ref="H67:H131" si="8">IF(B67&gt;0,1,0)</f>
        <v>1</v>
      </c>
      <c r="I67" s="11">
        <f t="shared" ref="I67:I119" si="9">B67*(G67-H67)</f>
        <v>72694700</v>
      </c>
      <c r="J67" s="53">
        <f t="shared" ref="J67:J131" si="10">C67*(G67-H67)</f>
        <v>52315508</v>
      </c>
      <c r="K67" s="53">
        <f t="shared" ref="K67:K131" si="11">D67*(G67-H67)</f>
        <v>20379192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779</v>
      </c>
      <c r="H68" s="36">
        <f t="shared" si="8"/>
        <v>0</v>
      </c>
      <c r="I68" s="11">
        <f t="shared" si="9"/>
        <v>-112955000</v>
      </c>
      <c r="J68" s="53">
        <f t="shared" si="10"/>
        <v>0</v>
      </c>
      <c r="K68" s="53">
        <f t="shared" si="11"/>
        <v>-112955000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772</v>
      </c>
      <c r="H69" s="36">
        <f t="shared" si="8"/>
        <v>1</v>
      </c>
      <c r="I69" s="11">
        <f t="shared" si="9"/>
        <v>755580000</v>
      </c>
      <c r="J69" s="53">
        <f t="shared" si="10"/>
        <v>0</v>
      </c>
      <c r="K69" s="53">
        <f t="shared" si="11"/>
        <v>755580000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769</v>
      </c>
      <c r="H70" s="36">
        <f t="shared" si="8"/>
        <v>0</v>
      </c>
      <c r="I70" s="11">
        <f t="shared" si="9"/>
        <v>-35374000</v>
      </c>
      <c r="J70" s="53">
        <f t="shared" si="10"/>
        <v>0</v>
      </c>
      <c r="K70" s="53">
        <f t="shared" si="11"/>
        <v>-35374000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767</v>
      </c>
      <c r="H71" s="36">
        <f t="shared" si="8"/>
        <v>1</v>
      </c>
      <c r="I71" s="11">
        <f t="shared" si="9"/>
        <v>88348908</v>
      </c>
      <c r="J71" s="53">
        <f t="shared" si="10"/>
        <v>79519992</v>
      </c>
      <c r="K71" s="53">
        <f t="shared" si="11"/>
        <v>8828916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766</v>
      </c>
      <c r="H72" s="36">
        <f t="shared" si="8"/>
        <v>0</v>
      </c>
      <c r="I72" s="11">
        <f t="shared" si="9"/>
        <v>-116408254</v>
      </c>
      <c r="J72" s="53">
        <f t="shared" si="10"/>
        <v>0</v>
      </c>
      <c r="K72" s="53">
        <f t="shared" si="11"/>
        <v>-116408254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765</v>
      </c>
      <c r="H73" s="36">
        <f t="shared" si="8"/>
        <v>0</v>
      </c>
      <c r="I73" s="11">
        <f t="shared" si="9"/>
        <v>-616207500</v>
      </c>
      <c r="J73" s="53">
        <f t="shared" si="10"/>
        <v>0</v>
      </c>
      <c r="K73" s="53">
        <f t="shared" si="11"/>
        <v>-616207500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758</v>
      </c>
      <c r="H74" s="36">
        <f t="shared" si="8"/>
        <v>1</v>
      </c>
      <c r="I74" s="11">
        <f t="shared" si="9"/>
        <v>5295215000</v>
      </c>
      <c r="J74" s="53">
        <f t="shared" si="10"/>
        <v>0</v>
      </c>
      <c r="K74" s="53">
        <f t="shared" si="11"/>
        <v>5295215000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757</v>
      </c>
      <c r="H75" s="36">
        <f t="shared" si="8"/>
        <v>1</v>
      </c>
      <c r="I75" s="11">
        <f t="shared" si="9"/>
        <v>2268000000</v>
      </c>
      <c r="J75" s="53">
        <f t="shared" si="10"/>
        <v>0</v>
      </c>
      <c r="K75" s="53">
        <f t="shared" si="11"/>
        <v>2268000000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755</v>
      </c>
      <c r="H76" s="36">
        <f t="shared" si="8"/>
        <v>1</v>
      </c>
      <c r="I76" s="11">
        <f t="shared" si="9"/>
        <v>2262000000</v>
      </c>
      <c r="J76" s="53">
        <f t="shared" si="10"/>
        <v>0</v>
      </c>
      <c r="K76" s="53">
        <f t="shared" si="11"/>
        <v>2262000000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754</v>
      </c>
      <c r="H77" s="36">
        <f t="shared" si="8"/>
        <v>1</v>
      </c>
      <c r="I77" s="11">
        <f t="shared" si="9"/>
        <v>2259000000</v>
      </c>
      <c r="J77" s="53">
        <f t="shared" si="10"/>
        <v>0</v>
      </c>
      <c r="K77" s="53">
        <f t="shared" si="11"/>
        <v>2259000000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753</v>
      </c>
      <c r="H78" s="36">
        <f t="shared" si="8"/>
        <v>0</v>
      </c>
      <c r="I78" s="11">
        <f t="shared" si="9"/>
        <v>-2409600000</v>
      </c>
      <c r="J78" s="53">
        <f t="shared" si="10"/>
        <v>-2409600000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752</v>
      </c>
      <c r="H79" s="36">
        <f t="shared" si="8"/>
        <v>0</v>
      </c>
      <c r="I79" s="11">
        <f t="shared" si="9"/>
        <v>-601600000</v>
      </c>
      <c r="J79" s="53">
        <f t="shared" si="10"/>
        <v>-601600000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751</v>
      </c>
      <c r="H80" s="36">
        <f t="shared" si="8"/>
        <v>0</v>
      </c>
      <c r="I80" s="11">
        <f t="shared" si="9"/>
        <v>-36343143</v>
      </c>
      <c r="J80" s="53">
        <f t="shared" si="10"/>
        <v>0</v>
      </c>
      <c r="K80" s="53">
        <f t="shared" si="11"/>
        <v>-36343143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750</v>
      </c>
      <c r="H81" s="36">
        <f t="shared" si="8"/>
        <v>0</v>
      </c>
      <c r="I81" s="11">
        <f t="shared" si="9"/>
        <v>-105000000</v>
      </c>
      <c r="J81" s="53">
        <f t="shared" si="10"/>
        <v>0</v>
      </c>
      <c r="K81" s="53">
        <f t="shared" si="11"/>
        <v>-105000000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749</v>
      </c>
      <c r="H82" s="36">
        <f t="shared" si="8"/>
        <v>0</v>
      </c>
      <c r="I82" s="11">
        <f t="shared" si="9"/>
        <v>-187250000</v>
      </c>
      <c r="J82" s="53">
        <f t="shared" si="10"/>
        <v>0</v>
      </c>
      <c r="K82" s="53">
        <f t="shared" si="11"/>
        <v>-187250000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748</v>
      </c>
      <c r="H83" s="36">
        <f t="shared" si="8"/>
        <v>0</v>
      </c>
      <c r="I83" s="11">
        <f t="shared" si="9"/>
        <v>-149600000</v>
      </c>
      <c r="J83" s="53">
        <f t="shared" si="10"/>
        <v>0</v>
      </c>
      <c r="K83" s="53">
        <f t="shared" si="11"/>
        <v>-149600000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745</v>
      </c>
      <c r="H84" s="36">
        <f t="shared" si="8"/>
        <v>1</v>
      </c>
      <c r="I84" s="11">
        <f t="shared" si="9"/>
        <v>1216588800</v>
      </c>
      <c r="J84" s="53">
        <f t="shared" si="10"/>
        <v>0</v>
      </c>
      <c r="K84" s="53">
        <f t="shared" si="11"/>
        <v>1216588800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741</v>
      </c>
      <c r="H85" s="36">
        <f t="shared" si="8"/>
        <v>1</v>
      </c>
      <c r="I85" s="11">
        <f t="shared" si="9"/>
        <v>1850000000</v>
      </c>
      <c r="J85" s="53">
        <f t="shared" si="10"/>
        <v>0</v>
      </c>
      <c r="K85" s="53">
        <f t="shared" si="11"/>
        <v>1850000000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737</v>
      </c>
      <c r="H86" s="36">
        <f t="shared" si="8"/>
        <v>1</v>
      </c>
      <c r="I86" s="11">
        <f t="shared" si="9"/>
        <v>137116800</v>
      </c>
      <c r="J86" s="53">
        <f t="shared" si="10"/>
        <v>62523200</v>
      </c>
      <c r="K86" s="53">
        <f t="shared" si="11"/>
        <v>74593600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734</v>
      </c>
      <c r="H87" s="36">
        <f t="shared" si="8"/>
        <v>0</v>
      </c>
      <c r="I87" s="11">
        <f t="shared" si="9"/>
        <v>-146800000</v>
      </c>
      <c r="J87" s="53">
        <f t="shared" si="10"/>
        <v>0</v>
      </c>
      <c r="K87" s="53">
        <f t="shared" si="11"/>
        <v>-146800000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733</v>
      </c>
      <c r="H88" s="36">
        <f t="shared" si="8"/>
        <v>0</v>
      </c>
      <c r="I88" s="11">
        <f t="shared" si="9"/>
        <v>-86494000</v>
      </c>
      <c r="J88" s="53">
        <f t="shared" si="10"/>
        <v>-50577000</v>
      </c>
      <c r="K88" s="53">
        <f t="shared" si="11"/>
        <v>-35917000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725</v>
      </c>
      <c r="H89" s="36">
        <f t="shared" si="8"/>
        <v>0</v>
      </c>
      <c r="I89" s="11">
        <f t="shared" si="9"/>
        <v>-2320652500</v>
      </c>
      <c r="J89" s="53">
        <f t="shared" si="10"/>
        <v>0</v>
      </c>
      <c r="K89" s="53">
        <f t="shared" si="11"/>
        <v>-2320652500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724</v>
      </c>
      <c r="H90" s="36">
        <f t="shared" si="8"/>
        <v>0</v>
      </c>
      <c r="I90" s="11">
        <f t="shared" si="9"/>
        <v>-2317451600</v>
      </c>
      <c r="J90" s="53">
        <f t="shared" si="10"/>
        <v>0</v>
      </c>
      <c r="K90" s="53">
        <f t="shared" si="11"/>
        <v>-2317451600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723</v>
      </c>
      <c r="H91" s="36">
        <f t="shared" si="8"/>
        <v>0</v>
      </c>
      <c r="I91" s="11">
        <f t="shared" si="9"/>
        <v>-2314250700</v>
      </c>
      <c r="J91" s="53">
        <f t="shared" si="10"/>
        <v>0</v>
      </c>
      <c r="K91" s="53">
        <f t="shared" si="11"/>
        <v>-2314250700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722</v>
      </c>
      <c r="H92" s="36">
        <f t="shared" si="8"/>
        <v>0</v>
      </c>
      <c r="I92" s="11">
        <f t="shared" si="9"/>
        <v>-2311049800</v>
      </c>
      <c r="J92" s="53">
        <f t="shared" si="10"/>
        <v>0</v>
      </c>
      <c r="K92" s="53">
        <f t="shared" si="11"/>
        <v>-2311049800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721</v>
      </c>
      <c r="H93" s="36">
        <f t="shared" si="8"/>
        <v>0</v>
      </c>
      <c r="I93" s="11">
        <f t="shared" si="9"/>
        <v>-2307848900</v>
      </c>
      <c r="J93" s="53">
        <f t="shared" si="10"/>
        <v>0</v>
      </c>
      <c r="K93" s="53">
        <f t="shared" si="11"/>
        <v>-2307848900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720</v>
      </c>
      <c r="H94" s="36">
        <f t="shared" si="8"/>
        <v>0</v>
      </c>
      <c r="I94" s="11">
        <f t="shared" si="9"/>
        <v>-2304648000</v>
      </c>
      <c r="J94" s="53">
        <f t="shared" si="10"/>
        <v>0</v>
      </c>
      <c r="K94" s="53">
        <f t="shared" si="11"/>
        <v>-2304648000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718</v>
      </c>
      <c r="H95" s="36">
        <f t="shared" si="8"/>
        <v>0</v>
      </c>
      <c r="I95" s="11">
        <f t="shared" si="9"/>
        <v>-859155928</v>
      </c>
      <c r="J95" s="53">
        <f t="shared" si="10"/>
        <v>0</v>
      </c>
      <c r="K95" s="53">
        <f t="shared" si="11"/>
        <v>-859155928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708</v>
      </c>
      <c r="H96" s="36">
        <f t="shared" si="8"/>
        <v>0</v>
      </c>
      <c r="I96" s="11">
        <f t="shared" si="9"/>
        <v>-141600000</v>
      </c>
      <c r="J96" s="53">
        <f t="shared" si="10"/>
        <v>0</v>
      </c>
      <c r="K96" s="53">
        <f t="shared" si="11"/>
        <v>-141600000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707</v>
      </c>
      <c r="H97" s="36">
        <f t="shared" si="8"/>
        <v>1</v>
      </c>
      <c r="I97" s="11">
        <f t="shared" si="9"/>
        <v>112647948</v>
      </c>
      <c r="J97" s="53">
        <f t="shared" si="10"/>
        <v>48661756</v>
      </c>
      <c r="K97" s="53">
        <f t="shared" si="11"/>
        <v>63986192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702</v>
      </c>
      <c r="H98" s="36">
        <f t="shared" si="8"/>
        <v>1</v>
      </c>
      <c r="I98" s="11">
        <f t="shared" si="9"/>
        <v>80171968</v>
      </c>
      <c r="J98" s="53">
        <f t="shared" si="10"/>
        <v>0</v>
      </c>
      <c r="K98" s="53">
        <f t="shared" si="11"/>
        <v>80171968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699</v>
      </c>
      <c r="H99" s="36">
        <f t="shared" si="8"/>
        <v>0</v>
      </c>
      <c r="I99" s="11">
        <f t="shared" si="9"/>
        <v>-926175000</v>
      </c>
      <c r="J99" s="53">
        <f t="shared" si="10"/>
        <v>0</v>
      </c>
      <c r="K99" s="53">
        <f t="shared" si="11"/>
        <v>-926175000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694</v>
      </c>
      <c r="H100" s="36">
        <f t="shared" si="8"/>
        <v>1</v>
      </c>
      <c r="I100" s="11">
        <f t="shared" si="9"/>
        <v>918225000</v>
      </c>
      <c r="J100" s="53">
        <f t="shared" si="10"/>
        <v>0</v>
      </c>
      <c r="K100" s="53">
        <f t="shared" si="11"/>
        <v>918225000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677</v>
      </c>
      <c r="H101" s="36">
        <f t="shared" si="8"/>
        <v>1</v>
      </c>
      <c r="I101" s="11">
        <f t="shared" si="9"/>
        <v>45187220</v>
      </c>
      <c r="J101" s="53">
        <f t="shared" si="10"/>
        <v>45187220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674</v>
      </c>
      <c r="H102" s="36">
        <f t="shared" si="8"/>
        <v>1</v>
      </c>
      <c r="I102" s="11">
        <f t="shared" si="9"/>
        <v>2019000000</v>
      </c>
      <c r="J102" s="53">
        <f t="shared" si="10"/>
        <v>0</v>
      </c>
      <c r="K102" s="53">
        <f t="shared" si="11"/>
        <v>2019000000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667</v>
      </c>
      <c r="H103" s="36">
        <f t="shared" si="8"/>
        <v>0</v>
      </c>
      <c r="I103" s="11">
        <f t="shared" si="9"/>
        <v>-667000000</v>
      </c>
      <c r="J103" s="53">
        <f t="shared" si="10"/>
        <v>-667000000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657</v>
      </c>
      <c r="H104" s="36">
        <f t="shared" si="8"/>
        <v>1</v>
      </c>
      <c r="I104" s="11">
        <f t="shared" si="9"/>
        <v>1968000000</v>
      </c>
      <c r="J104" s="53">
        <f t="shared" si="10"/>
        <v>1968000000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656</v>
      </c>
      <c r="H105" s="36">
        <f t="shared" si="8"/>
        <v>1</v>
      </c>
      <c r="I105" s="11">
        <f t="shared" si="9"/>
        <v>733600000</v>
      </c>
      <c r="J105" s="53">
        <f t="shared" si="10"/>
        <v>733600000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656</v>
      </c>
      <c r="H106" s="36">
        <f t="shared" si="8"/>
        <v>0</v>
      </c>
      <c r="I106" s="11">
        <f t="shared" si="9"/>
        <v>-1968000000</v>
      </c>
      <c r="J106" s="53">
        <f t="shared" si="10"/>
        <v>0</v>
      </c>
      <c r="K106" s="53">
        <f t="shared" si="11"/>
        <v>-1968000000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647</v>
      </c>
      <c r="H107" s="36">
        <f t="shared" si="8"/>
        <v>1</v>
      </c>
      <c r="I107" s="11">
        <f t="shared" si="9"/>
        <v>58459124</v>
      </c>
      <c r="J107" s="53">
        <f t="shared" si="10"/>
        <v>48524290</v>
      </c>
      <c r="K107" s="53">
        <f t="shared" si="11"/>
        <v>9934834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645</v>
      </c>
      <c r="H108" s="36">
        <f t="shared" si="8"/>
        <v>0</v>
      </c>
      <c r="I108" s="11">
        <f t="shared" si="9"/>
        <v>-1096951500</v>
      </c>
      <c r="J108" s="53">
        <f t="shared" si="10"/>
        <v>0</v>
      </c>
      <c r="K108" s="53">
        <f t="shared" si="11"/>
        <v>-1096951500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641</v>
      </c>
      <c r="H109" s="36">
        <f t="shared" si="8"/>
        <v>0</v>
      </c>
      <c r="I109" s="11">
        <f t="shared" si="9"/>
        <v>-641320500</v>
      </c>
      <c r="J109" s="53">
        <f t="shared" si="10"/>
        <v>0</v>
      </c>
      <c r="K109" s="53">
        <f t="shared" si="11"/>
        <v>-641320500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638</v>
      </c>
      <c r="H110" s="36">
        <f t="shared" si="8"/>
        <v>1</v>
      </c>
      <c r="I110" s="11">
        <f t="shared" si="9"/>
        <v>12740000000</v>
      </c>
      <c r="J110" s="53">
        <f t="shared" si="10"/>
        <v>0</v>
      </c>
      <c r="K110" s="53">
        <f t="shared" si="11"/>
        <v>12740000000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618</v>
      </c>
      <c r="H111" s="36">
        <f t="shared" si="8"/>
        <v>1</v>
      </c>
      <c r="I111" s="11">
        <f t="shared" si="9"/>
        <v>107776326</v>
      </c>
      <c r="J111" s="53">
        <f t="shared" si="10"/>
        <v>53902971</v>
      </c>
      <c r="K111" s="53">
        <f t="shared" si="11"/>
        <v>53873355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602</v>
      </c>
      <c r="H112" s="36">
        <f t="shared" si="8"/>
        <v>0</v>
      </c>
      <c r="I112" s="11">
        <f t="shared" si="9"/>
        <v>-17096800000</v>
      </c>
      <c r="J112" s="53">
        <f t="shared" si="10"/>
        <v>0</v>
      </c>
      <c r="K112" s="53">
        <f t="shared" si="11"/>
        <v>-17096800000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587</v>
      </c>
      <c r="H113" s="36">
        <f t="shared" si="8"/>
        <v>1</v>
      </c>
      <c r="I113" s="11">
        <f t="shared" si="9"/>
        <v>95541440</v>
      </c>
      <c r="J113" s="53">
        <f t="shared" si="10"/>
        <v>71791446</v>
      </c>
      <c r="K113" s="53">
        <f t="shared" si="11"/>
        <v>23749994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587</v>
      </c>
      <c r="H114" s="36">
        <f t="shared" si="8"/>
        <v>0</v>
      </c>
      <c r="I114" s="11">
        <f t="shared" si="9"/>
        <v>-3345900</v>
      </c>
      <c r="J114" s="53">
        <f t="shared" si="10"/>
        <v>-1467500</v>
      </c>
      <c r="K114" s="53">
        <f t="shared" si="11"/>
        <v>-1878400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574</v>
      </c>
      <c r="H115" s="36">
        <f t="shared" si="8"/>
        <v>0</v>
      </c>
      <c r="I115" s="11">
        <f t="shared" si="9"/>
        <v>0</v>
      </c>
      <c r="J115" s="53">
        <f t="shared" si="10"/>
        <v>287000000</v>
      </c>
      <c r="K115" s="53">
        <f t="shared" si="11"/>
        <v>-287000000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566</v>
      </c>
      <c r="H116" s="36">
        <f t="shared" si="8"/>
        <v>0</v>
      </c>
      <c r="I116" s="11">
        <f t="shared" si="9"/>
        <v>-90560000</v>
      </c>
      <c r="J116" s="53">
        <f t="shared" si="10"/>
        <v>0</v>
      </c>
      <c r="K116" s="53">
        <f t="shared" si="11"/>
        <v>-90560000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557</v>
      </c>
      <c r="H117" s="36">
        <f t="shared" si="8"/>
        <v>1</v>
      </c>
      <c r="I117" s="11">
        <f t="shared" si="9"/>
        <v>822880</v>
      </c>
      <c r="J117" s="53">
        <f t="shared" si="10"/>
        <v>59459196</v>
      </c>
      <c r="K117" s="53">
        <f t="shared" si="11"/>
        <v>-58636316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535</v>
      </c>
      <c r="H118" s="36">
        <f t="shared" si="8"/>
        <v>1</v>
      </c>
      <c r="I118" s="11">
        <f t="shared" si="9"/>
        <v>21039333000</v>
      </c>
      <c r="J118" s="53">
        <f t="shared" si="10"/>
        <v>0</v>
      </c>
      <c r="K118" s="53">
        <f t="shared" si="11"/>
        <v>21039333000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526</v>
      </c>
      <c r="H119" s="36">
        <f t="shared" si="8"/>
        <v>1</v>
      </c>
      <c r="I119" s="11">
        <f t="shared" si="9"/>
        <v>50148525</v>
      </c>
      <c r="J119" s="53">
        <f t="shared" si="10"/>
        <v>57778350</v>
      </c>
      <c r="K119" s="53">
        <f t="shared" si="11"/>
        <v>-7629825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522</v>
      </c>
      <c r="H120" s="11">
        <f t="shared" si="8"/>
        <v>1</v>
      </c>
      <c r="I120" s="11">
        <f t="shared" ref="I120:I266" si="13">B120*(G120-H120)</f>
        <v>1042000000</v>
      </c>
      <c r="J120" s="11">
        <f t="shared" si="10"/>
        <v>0</v>
      </c>
      <c r="K120" s="11">
        <f t="shared" si="11"/>
        <v>1042000000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496</v>
      </c>
      <c r="H121" s="11">
        <f t="shared" si="8"/>
        <v>1</v>
      </c>
      <c r="I121" s="11">
        <f t="shared" si="13"/>
        <v>1287000000</v>
      </c>
      <c r="J121" s="11">
        <f t="shared" si="10"/>
        <v>0</v>
      </c>
      <c r="K121" s="11">
        <f t="shared" si="11"/>
        <v>1287000000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495</v>
      </c>
      <c r="H122" s="11">
        <f t="shared" si="8"/>
        <v>1</v>
      </c>
      <c r="I122" s="11">
        <f t="shared" si="13"/>
        <v>189968194</v>
      </c>
      <c r="J122" s="11">
        <f t="shared" si="10"/>
        <v>54788552</v>
      </c>
      <c r="K122" s="11">
        <f t="shared" si="11"/>
        <v>135179642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494</v>
      </c>
      <c r="H123" s="11">
        <f t="shared" si="8"/>
        <v>0</v>
      </c>
      <c r="I123" s="11">
        <f t="shared" si="13"/>
        <v>0</v>
      </c>
      <c r="J123" s="11">
        <f t="shared" si="10"/>
        <v>395200000</v>
      </c>
      <c r="K123" s="11">
        <f t="shared" si="11"/>
        <v>-395200000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480</v>
      </c>
      <c r="H124" s="11">
        <f t="shared" si="8"/>
        <v>0</v>
      </c>
      <c r="I124" s="11">
        <f t="shared" si="13"/>
        <v>-1440000000</v>
      </c>
      <c r="J124" s="11">
        <f t="shared" si="10"/>
        <v>0</v>
      </c>
      <c r="K124" s="11">
        <f t="shared" si="11"/>
        <v>-1440000000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465</v>
      </c>
      <c r="H125" s="11">
        <f t="shared" si="8"/>
        <v>1</v>
      </c>
      <c r="I125" s="11">
        <f t="shared" si="13"/>
        <v>185929440</v>
      </c>
      <c r="J125" s="11">
        <f t="shared" si="10"/>
        <v>55158000</v>
      </c>
      <c r="K125" s="11">
        <f t="shared" si="11"/>
        <v>130771440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465</v>
      </c>
      <c r="H126" s="11">
        <f t="shared" si="8"/>
        <v>1</v>
      </c>
      <c r="I126" s="11">
        <f t="shared" si="13"/>
        <v>19488000000</v>
      </c>
      <c r="J126" s="11">
        <f t="shared" si="10"/>
        <v>0</v>
      </c>
      <c r="K126" s="11">
        <f t="shared" si="11"/>
        <v>19488000000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440</v>
      </c>
      <c r="H127" s="11">
        <f t="shared" si="8"/>
        <v>0</v>
      </c>
      <c r="I127" s="11">
        <f t="shared" si="13"/>
        <v>-2200000</v>
      </c>
      <c r="J127" s="11">
        <f t="shared" si="10"/>
        <v>0</v>
      </c>
      <c r="K127" s="11">
        <f t="shared" si="11"/>
        <v>-2200000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434</v>
      </c>
      <c r="H128" s="11">
        <f t="shared" si="8"/>
        <v>1</v>
      </c>
      <c r="I128" s="11">
        <f t="shared" si="13"/>
        <v>334004942</v>
      </c>
      <c r="J128" s="11">
        <f t="shared" si="10"/>
        <v>52261801</v>
      </c>
      <c r="K128" s="11">
        <f t="shared" si="11"/>
        <v>281743141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431</v>
      </c>
      <c r="H129" s="11">
        <f t="shared" si="8"/>
        <v>1</v>
      </c>
      <c r="I129" s="11">
        <f t="shared" si="13"/>
        <v>1075000000</v>
      </c>
      <c r="J129" s="11">
        <f t="shared" si="10"/>
        <v>0</v>
      </c>
      <c r="K129" s="11">
        <f t="shared" si="11"/>
        <v>1075000000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417</v>
      </c>
      <c r="H130" s="11">
        <f t="shared" si="8"/>
        <v>0</v>
      </c>
      <c r="I130" s="11">
        <f t="shared" si="13"/>
        <v>-417000000</v>
      </c>
      <c r="J130" s="11">
        <f t="shared" si="10"/>
        <v>-417000000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412</v>
      </c>
      <c r="H131" s="11">
        <f t="shared" si="8"/>
        <v>0</v>
      </c>
      <c r="I131" s="11">
        <f t="shared" si="13"/>
        <v>-20600000000</v>
      </c>
      <c r="J131" s="11">
        <f t="shared" si="10"/>
        <v>0</v>
      </c>
      <c r="K131" s="11">
        <f t="shared" si="11"/>
        <v>-20600000000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404</v>
      </c>
      <c r="H132" s="11">
        <f t="shared" ref="H132:H266" si="15">IF(B132&gt;0,1,0)</f>
        <v>1</v>
      </c>
      <c r="I132" s="11">
        <f t="shared" si="13"/>
        <v>247557661</v>
      </c>
      <c r="J132" s="11">
        <f t="shared" ref="J132:J206" si="16">C132*(G132-H132)</f>
        <v>42706313</v>
      </c>
      <c r="K132" s="11">
        <f t="shared" ref="K132:K266" si="17">D132*(G132-H132)</f>
        <v>204851348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400</v>
      </c>
      <c r="H133" s="11">
        <f t="shared" si="15"/>
        <v>0</v>
      </c>
      <c r="I133" s="11">
        <f t="shared" si="13"/>
        <v>-484280000</v>
      </c>
      <c r="J133" s="11">
        <f t="shared" si="16"/>
        <v>0</v>
      </c>
      <c r="K133" s="11">
        <f t="shared" si="17"/>
        <v>-484280000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391</v>
      </c>
      <c r="H134" s="11">
        <f t="shared" si="15"/>
        <v>0</v>
      </c>
      <c r="I134" s="11">
        <f t="shared" si="13"/>
        <v>-25415000</v>
      </c>
      <c r="J134" s="11">
        <f t="shared" si="16"/>
        <v>0</v>
      </c>
      <c r="K134" s="11">
        <f t="shared" si="17"/>
        <v>-25415000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391</v>
      </c>
      <c r="H135" s="11">
        <f t="shared" si="15"/>
        <v>0</v>
      </c>
      <c r="I135" s="11">
        <f t="shared" si="13"/>
        <v>-12629300</v>
      </c>
      <c r="J135" s="11">
        <f t="shared" si="16"/>
        <v>0</v>
      </c>
      <c r="K135" s="11">
        <f t="shared" si="17"/>
        <v>-12629300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383</v>
      </c>
      <c r="H136" s="11">
        <f t="shared" si="15"/>
        <v>0</v>
      </c>
      <c r="I136" s="11">
        <f t="shared" si="13"/>
        <v>-383000000</v>
      </c>
      <c r="J136" s="11">
        <f t="shared" si="16"/>
        <v>-383000000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374</v>
      </c>
      <c r="H137" s="11">
        <f t="shared" si="15"/>
        <v>1</v>
      </c>
      <c r="I137" s="11">
        <f t="shared" si="13"/>
        <v>108495629</v>
      </c>
      <c r="J137" s="11">
        <f t="shared" si="16"/>
        <v>36314907</v>
      </c>
      <c r="K137" s="11">
        <f t="shared" si="17"/>
        <v>72180722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357</v>
      </c>
      <c r="H138" s="11">
        <f t="shared" si="15"/>
        <v>0</v>
      </c>
      <c r="I138" s="11">
        <f t="shared" si="13"/>
        <v>-357178500</v>
      </c>
      <c r="J138" s="11">
        <f t="shared" si="16"/>
        <v>-357178500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345</v>
      </c>
      <c r="H139" s="11">
        <f t="shared" si="15"/>
        <v>1</v>
      </c>
      <c r="I139" s="11">
        <f t="shared" si="13"/>
        <v>97090560</v>
      </c>
      <c r="J139" s="11">
        <f t="shared" si="16"/>
        <v>30549608</v>
      </c>
      <c r="K139" s="11">
        <f t="shared" si="17"/>
        <v>66540952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342</v>
      </c>
      <c r="H140" s="11">
        <f t="shared" si="15"/>
        <v>1</v>
      </c>
      <c r="I140" s="11">
        <f t="shared" si="13"/>
        <v>511500000</v>
      </c>
      <c r="J140" s="11">
        <f t="shared" si="16"/>
        <v>0</v>
      </c>
      <c r="K140" s="11">
        <f t="shared" si="17"/>
        <v>511500000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329</v>
      </c>
      <c r="H141" s="11">
        <f t="shared" si="15"/>
        <v>0</v>
      </c>
      <c r="I141" s="11">
        <f t="shared" si="13"/>
        <v>0</v>
      </c>
      <c r="J141" s="11">
        <f t="shared" si="16"/>
        <v>-329000000</v>
      </c>
      <c r="K141" s="11">
        <f t="shared" si="17"/>
        <v>329000000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315</v>
      </c>
      <c r="H142" s="11">
        <f t="shared" si="15"/>
        <v>1</v>
      </c>
      <c r="I142" s="11">
        <f t="shared" si="13"/>
        <v>91340402</v>
      </c>
      <c r="J142" s="11">
        <f t="shared" si="16"/>
        <v>25440908</v>
      </c>
      <c r="K142" s="11">
        <f t="shared" si="17"/>
        <v>65899494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295</v>
      </c>
      <c r="H143" s="11">
        <f t="shared" si="15"/>
        <v>0</v>
      </c>
      <c r="I143" s="11">
        <f t="shared" si="13"/>
        <v>0</v>
      </c>
      <c r="J143" s="11">
        <f t="shared" si="16"/>
        <v>-295000000</v>
      </c>
      <c r="K143" s="11">
        <f t="shared" si="17"/>
        <v>295000000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285</v>
      </c>
      <c r="H144" s="11">
        <f t="shared" si="15"/>
        <v>1</v>
      </c>
      <c r="I144" s="11">
        <f t="shared" si="13"/>
        <v>83737968</v>
      </c>
      <c r="J144" s="11">
        <f t="shared" si="16"/>
        <v>21202588</v>
      </c>
      <c r="K144" s="11">
        <f t="shared" si="17"/>
        <v>62535380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270</v>
      </c>
      <c r="H145" s="11">
        <f t="shared" si="15"/>
        <v>0</v>
      </c>
      <c r="I145" s="11">
        <f t="shared" si="13"/>
        <v>-2700000</v>
      </c>
      <c r="J145" s="11">
        <f t="shared" si="16"/>
        <v>-1350000</v>
      </c>
      <c r="K145" s="11">
        <f t="shared" si="17"/>
        <v>-1350000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265</v>
      </c>
      <c r="H146" s="11">
        <f t="shared" si="15"/>
        <v>0</v>
      </c>
      <c r="I146" s="11">
        <f t="shared" si="13"/>
        <v>-265132500</v>
      </c>
      <c r="J146" s="11">
        <f t="shared" si="16"/>
        <v>-265132500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259</v>
      </c>
      <c r="H147" s="11">
        <f t="shared" si="15"/>
        <v>0</v>
      </c>
      <c r="I147" s="11">
        <f t="shared" si="13"/>
        <v>-6993000000</v>
      </c>
      <c r="J147" s="11">
        <f t="shared" si="16"/>
        <v>0</v>
      </c>
      <c r="K147" s="11">
        <f t="shared" si="17"/>
        <v>-6993000000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256</v>
      </c>
      <c r="H148" s="11">
        <f t="shared" si="15"/>
        <v>1</v>
      </c>
      <c r="I148" s="11">
        <f t="shared" si="13"/>
        <v>64371180</v>
      </c>
      <c r="J148" s="11">
        <f t="shared" si="16"/>
        <v>16705050</v>
      </c>
      <c r="K148" s="11">
        <f t="shared" si="17"/>
        <v>47666130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1074</v>
      </c>
      <c r="F149" s="11">
        <v>7</v>
      </c>
      <c r="G149" s="36">
        <f t="shared" si="14"/>
        <v>248</v>
      </c>
      <c r="H149" s="11">
        <f t="shared" si="15"/>
        <v>1</v>
      </c>
      <c r="I149" s="11">
        <f t="shared" si="13"/>
        <v>12942800000</v>
      </c>
      <c r="J149" s="11">
        <f t="shared" si="16"/>
        <v>0</v>
      </c>
      <c r="K149" s="11">
        <f t="shared" si="17"/>
        <v>12942800000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241</v>
      </c>
      <c r="H150" s="11">
        <f t="shared" si="15"/>
        <v>0</v>
      </c>
      <c r="I150" s="11">
        <f t="shared" si="13"/>
        <v>-12532000000</v>
      </c>
      <c r="J150" s="11">
        <f t="shared" si="16"/>
        <v>0</v>
      </c>
      <c r="K150" s="11">
        <f t="shared" si="17"/>
        <v>-12532000000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236</v>
      </c>
      <c r="H151" s="99">
        <f t="shared" si="15"/>
        <v>0</v>
      </c>
      <c r="I151" s="99">
        <f t="shared" si="13"/>
        <v>-1888000000</v>
      </c>
      <c r="J151" s="99">
        <f t="shared" si="16"/>
        <v>-1598222916</v>
      </c>
      <c r="K151" s="11">
        <f t="shared" si="17"/>
        <v>-289777084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236</v>
      </c>
      <c r="H152" s="99">
        <f t="shared" si="15"/>
        <v>0</v>
      </c>
      <c r="I152" s="99">
        <f t="shared" si="13"/>
        <v>-7370280</v>
      </c>
      <c r="J152" s="99">
        <f t="shared" si="16"/>
        <v>0</v>
      </c>
      <c r="K152" s="99">
        <f t="shared" si="17"/>
        <v>-7370280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225</v>
      </c>
      <c r="H153" s="99">
        <f t="shared" si="15"/>
        <v>1</v>
      </c>
      <c r="I153" s="99">
        <f t="shared" si="13"/>
        <v>30259488</v>
      </c>
      <c r="J153" s="99">
        <f t="shared" si="16"/>
        <v>9213120</v>
      </c>
      <c r="K153" s="99">
        <f t="shared" si="17"/>
        <v>21046368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222</v>
      </c>
      <c r="H154" s="99">
        <f t="shared" si="15"/>
        <v>1</v>
      </c>
      <c r="I154" s="99">
        <f t="shared" si="13"/>
        <v>1508122122</v>
      </c>
      <c r="J154" s="99">
        <f t="shared" si="16"/>
        <v>1508122122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217</v>
      </c>
      <c r="H155" s="99">
        <f t="shared" si="15"/>
        <v>0</v>
      </c>
      <c r="I155" s="99">
        <f t="shared" si="13"/>
        <v>-43400000</v>
      </c>
      <c r="J155" s="99">
        <f t="shared" si="16"/>
        <v>0</v>
      </c>
      <c r="K155" s="99">
        <f t="shared" si="17"/>
        <v>-43400000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217</v>
      </c>
      <c r="H156" s="99">
        <f t="shared" si="15"/>
        <v>0</v>
      </c>
      <c r="I156" s="99">
        <f t="shared" si="13"/>
        <v>-53781280</v>
      </c>
      <c r="J156" s="99">
        <f t="shared" si="16"/>
        <v>0</v>
      </c>
      <c r="K156" s="99">
        <f t="shared" si="17"/>
        <v>-53781280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216</v>
      </c>
      <c r="H157" s="99">
        <f t="shared" si="15"/>
        <v>0</v>
      </c>
      <c r="I157" s="99">
        <f t="shared" si="13"/>
        <v>-35065440</v>
      </c>
      <c r="J157" s="99">
        <f t="shared" si="16"/>
        <v>0</v>
      </c>
      <c r="K157" s="99">
        <f t="shared" si="17"/>
        <v>-35065440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216</v>
      </c>
      <c r="H158" s="99">
        <f t="shared" si="15"/>
        <v>0</v>
      </c>
      <c r="I158" s="99">
        <f t="shared" si="13"/>
        <v>-648194400</v>
      </c>
      <c r="J158" s="99">
        <f t="shared" si="16"/>
        <v>0</v>
      </c>
      <c r="K158" s="99">
        <f t="shared" si="17"/>
        <v>-648194400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214</v>
      </c>
      <c r="H159" s="99">
        <f t="shared" si="15"/>
        <v>0</v>
      </c>
      <c r="I159" s="99">
        <f t="shared" si="13"/>
        <v>-214107000</v>
      </c>
      <c r="J159" s="99">
        <f t="shared" si="16"/>
        <v>0</v>
      </c>
      <c r="K159" s="99">
        <f t="shared" si="17"/>
        <v>-214107000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210</v>
      </c>
      <c r="H160" s="99">
        <f t="shared" si="15"/>
        <v>0</v>
      </c>
      <c r="I160" s="99">
        <f t="shared" si="13"/>
        <v>-21000000</v>
      </c>
      <c r="J160" s="99">
        <f t="shared" si="16"/>
        <v>0</v>
      </c>
      <c r="K160" s="99">
        <f t="shared" si="17"/>
        <v>-21000000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209</v>
      </c>
      <c r="H161" s="99">
        <f t="shared" si="15"/>
        <v>0</v>
      </c>
      <c r="I161" s="99">
        <f t="shared" si="13"/>
        <v>-418000000</v>
      </c>
      <c r="J161" s="99">
        <f t="shared" si="16"/>
        <v>0</v>
      </c>
      <c r="K161" s="99">
        <f t="shared" si="17"/>
        <v>-418000000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209</v>
      </c>
      <c r="H162" s="99">
        <f t="shared" si="15"/>
        <v>0</v>
      </c>
      <c r="I162" s="99">
        <f t="shared" si="13"/>
        <v>-209104500</v>
      </c>
      <c r="J162" s="99">
        <f t="shared" si="16"/>
        <v>0</v>
      </c>
      <c r="K162" s="99">
        <f t="shared" si="17"/>
        <v>-209104500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206</v>
      </c>
      <c r="H163" s="99">
        <f t="shared" si="15"/>
        <v>0</v>
      </c>
      <c r="I163" s="99">
        <f t="shared" si="13"/>
        <v>-1030000</v>
      </c>
      <c r="J163" s="99">
        <f t="shared" si="16"/>
        <v>0</v>
      </c>
      <c r="K163" s="99">
        <f t="shared" si="17"/>
        <v>-1030000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196</v>
      </c>
      <c r="H164" s="99">
        <f t="shared" si="15"/>
        <v>1</v>
      </c>
      <c r="I164" s="99">
        <f t="shared" si="13"/>
        <v>585000000</v>
      </c>
      <c r="J164" s="99">
        <f t="shared" si="16"/>
        <v>0</v>
      </c>
      <c r="K164" s="99">
        <f t="shared" si="17"/>
        <v>585000000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195</v>
      </c>
      <c r="H165" s="99">
        <f t="shared" si="15"/>
        <v>1</v>
      </c>
      <c r="I165" s="99">
        <f t="shared" si="13"/>
        <v>582000000</v>
      </c>
      <c r="J165" s="99">
        <f t="shared" si="16"/>
        <v>0</v>
      </c>
      <c r="K165" s="99">
        <f t="shared" si="17"/>
        <v>582000000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194</v>
      </c>
      <c r="H166" s="99">
        <f t="shared" si="15"/>
        <v>1</v>
      </c>
      <c r="I166" s="99">
        <f t="shared" si="13"/>
        <v>3920602</v>
      </c>
      <c r="J166" s="99">
        <f t="shared" si="16"/>
        <v>11549506</v>
      </c>
      <c r="K166" s="99">
        <f t="shared" si="17"/>
        <v>-7628904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189</v>
      </c>
      <c r="H167" s="99">
        <f t="shared" si="15"/>
        <v>0</v>
      </c>
      <c r="I167" s="99">
        <f t="shared" si="13"/>
        <v>-567170100</v>
      </c>
      <c r="J167" s="99">
        <f t="shared" si="16"/>
        <v>0</v>
      </c>
      <c r="K167" s="99">
        <f t="shared" si="17"/>
        <v>-567170100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171</v>
      </c>
      <c r="H168" s="99">
        <f t="shared" si="15"/>
        <v>0</v>
      </c>
      <c r="I168" s="99">
        <f t="shared" si="13"/>
        <v>-513153900</v>
      </c>
      <c r="J168" s="99">
        <f t="shared" si="16"/>
        <v>0</v>
      </c>
      <c r="K168" s="99">
        <f t="shared" si="17"/>
        <v>-513153900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163</v>
      </c>
      <c r="H169" s="99">
        <f t="shared" si="15"/>
        <v>1</v>
      </c>
      <c r="I169" s="99">
        <f t="shared" si="13"/>
        <v>3516210</v>
      </c>
      <c r="J169" s="99">
        <f t="shared" si="16"/>
        <v>11099430</v>
      </c>
      <c r="K169" s="99">
        <f t="shared" si="17"/>
        <v>-7583220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139</v>
      </c>
      <c r="H170" s="99">
        <f t="shared" si="15"/>
        <v>1</v>
      </c>
      <c r="I170" s="99">
        <f t="shared" si="13"/>
        <v>690000000</v>
      </c>
      <c r="J170" s="99">
        <f t="shared" si="16"/>
        <v>0</v>
      </c>
      <c r="K170" s="99">
        <f t="shared" si="17"/>
        <v>690000000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138</v>
      </c>
      <c r="H171" s="99">
        <f t="shared" si="15"/>
        <v>0</v>
      </c>
      <c r="I171" s="99">
        <f t="shared" si="13"/>
        <v>-690000000</v>
      </c>
      <c r="J171" s="99">
        <f t="shared" si="16"/>
        <v>0</v>
      </c>
      <c r="K171" s="99">
        <f t="shared" si="17"/>
        <v>-690000000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132</v>
      </c>
      <c r="H172" s="99">
        <f t="shared" si="15"/>
        <v>1</v>
      </c>
      <c r="I172" s="99">
        <f t="shared" si="13"/>
        <v>64976</v>
      </c>
      <c r="J172" s="99">
        <f t="shared" si="16"/>
        <v>8211211</v>
      </c>
      <c r="K172" s="99">
        <f t="shared" si="17"/>
        <v>-8146235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131</v>
      </c>
      <c r="H173" s="99">
        <f t="shared" si="15"/>
        <v>1</v>
      </c>
      <c r="I173" s="99">
        <f t="shared" si="13"/>
        <v>102050000</v>
      </c>
      <c r="J173" s="99">
        <f t="shared" si="16"/>
        <v>0</v>
      </c>
      <c r="K173" s="99">
        <f t="shared" si="17"/>
        <v>102050000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120</v>
      </c>
      <c r="H174" s="99">
        <f t="shared" si="15"/>
        <v>0</v>
      </c>
      <c r="I174" s="99">
        <f t="shared" si="13"/>
        <v>-3840000</v>
      </c>
      <c r="J174" s="99">
        <f t="shared" si="16"/>
        <v>0</v>
      </c>
      <c r="K174" s="99">
        <f t="shared" si="17"/>
        <v>-3840000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118</v>
      </c>
      <c r="H175" s="99">
        <f t="shared" si="15"/>
        <v>0</v>
      </c>
      <c r="I175" s="99">
        <f t="shared" si="13"/>
        <v>-88500000</v>
      </c>
      <c r="J175" s="99">
        <f t="shared" si="16"/>
        <v>0</v>
      </c>
      <c r="K175" s="99">
        <f t="shared" si="17"/>
        <v>-88500000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109</v>
      </c>
      <c r="H176" s="99">
        <f t="shared" si="15"/>
        <v>0</v>
      </c>
      <c r="I176" s="99">
        <f t="shared" si="13"/>
        <v>-1024164</v>
      </c>
      <c r="J176" s="99">
        <f t="shared" si="16"/>
        <v>0</v>
      </c>
      <c r="K176" s="99">
        <f t="shared" si="17"/>
        <v>-1024164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108</v>
      </c>
      <c r="H177" s="99">
        <f t="shared" si="15"/>
        <v>0</v>
      </c>
      <c r="I177" s="99">
        <f t="shared" si="13"/>
        <v>-4676400</v>
      </c>
      <c r="J177" s="99">
        <f t="shared" si="16"/>
        <v>0</v>
      </c>
      <c r="K177" s="99">
        <f t="shared" si="17"/>
        <v>-4676400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105</v>
      </c>
      <c r="H178" s="99">
        <f t="shared" si="15"/>
        <v>1</v>
      </c>
      <c r="I178" s="99">
        <f t="shared" si="13"/>
        <v>37440000</v>
      </c>
      <c r="J178" s="99">
        <f t="shared" si="16"/>
        <v>0</v>
      </c>
      <c r="K178" s="99">
        <f t="shared" si="17"/>
        <v>37440000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103</v>
      </c>
      <c r="H179" s="99">
        <f t="shared" si="15"/>
        <v>1</v>
      </c>
      <c r="I179" s="99">
        <f t="shared" si="13"/>
        <v>306000000</v>
      </c>
      <c r="J179" s="99">
        <f t="shared" si="16"/>
        <v>0</v>
      </c>
      <c r="K179" s="99">
        <f t="shared" si="17"/>
        <v>306000000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103</v>
      </c>
      <c r="H180" s="99">
        <f t="shared" si="15"/>
        <v>0</v>
      </c>
      <c r="I180" s="99">
        <f t="shared" si="13"/>
        <v>-1241150</v>
      </c>
      <c r="J180" s="99">
        <f t="shared" si="16"/>
        <v>0</v>
      </c>
      <c r="K180" s="99">
        <f t="shared" si="17"/>
        <v>-1241150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101</v>
      </c>
      <c r="H181" s="99">
        <f t="shared" si="15"/>
        <v>1</v>
      </c>
      <c r="I181" s="99">
        <f t="shared" si="13"/>
        <v>300000000</v>
      </c>
      <c r="J181" s="99">
        <f t="shared" si="16"/>
        <v>0</v>
      </c>
      <c r="K181" s="99">
        <f t="shared" si="17"/>
        <v>300000000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99</v>
      </c>
      <c r="H182" s="99">
        <f t="shared" si="15"/>
        <v>0</v>
      </c>
      <c r="I182" s="99">
        <f t="shared" si="13"/>
        <v>-3544200</v>
      </c>
      <c r="J182" s="99">
        <f t="shared" si="16"/>
        <v>0</v>
      </c>
      <c r="K182" s="99">
        <f t="shared" si="17"/>
        <v>-3544200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98</v>
      </c>
      <c r="H183" s="99">
        <f t="shared" si="15"/>
        <v>1</v>
      </c>
      <c r="I183" s="99">
        <f t="shared" si="13"/>
        <v>349200000</v>
      </c>
      <c r="J183" s="99">
        <f t="shared" si="16"/>
        <v>0</v>
      </c>
      <c r="K183" s="99">
        <f t="shared" si="17"/>
        <v>349200000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98</v>
      </c>
      <c r="H184" s="99">
        <f t="shared" si="15"/>
        <v>0</v>
      </c>
      <c r="I184" s="99">
        <f t="shared" si="13"/>
        <v>-3270946</v>
      </c>
      <c r="J184" s="99">
        <f t="shared" si="16"/>
        <v>0</v>
      </c>
      <c r="K184" s="99">
        <f t="shared" si="17"/>
        <v>-3270946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95</v>
      </c>
      <c r="H185" s="99">
        <f t="shared" si="15"/>
        <v>0</v>
      </c>
      <c r="I185" s="99">
        <f t="shared" si="13"/>
        <v>-931000000</v>
      </c>
      <c r="J185" s="99">
        <f t="shared" si="16"/>
        <v>0</v>
      </c>
      <c r="K185" s="99">
        <f t="shared" si="17"/>
        <v>-931000000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95</v>
      </c>
      <c r="H186" s="99">
        <f t="shared" si="15"/>
        <v>1</v>
      </c>
      <c r="I186" s="99">
        <f t="shared" si="13"/>
        <v>1692000000</v>
      </c>
      <c r="J186" s="99">
        <f t="shared" si="16"/>
        <v>0</v>
      </c>
      <c r="K186" s="99">
        <f t="shared" si="17"/>
        <v>1692000000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95</v>
      </c>
      <c r="H187" s="99">
        <f t="shared" si="15"/>
        <v>0</v>
      </c>
      <c r="I187" s="99">
        <f t="shared" si="13"/>
        <v>-855000000</v>
      </c>
      <c r="J187" s="99">
        <f t="shared" si="16"/>
        <v>0</v>
      </c>
      <c r="K187" s="99">
        <f t="shared" si="17"/>
        <v>-855000000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95</v>
      </c>
      <c r="H188" s="99">
        <f t="shared" si="15"/>
        <v>0</v>
      </c>
      <c r="I188" s="99">
        <f t="shared" si="13"/>
        <v>-1102000</v>
      </c>
      <c r="J188" s="99">
        <f t="shared" si="16"/>
        <v>0</v>
      </c>
      <c r="K188" s="99">
        <f t="shared" si="17"/>
        <v>-1102000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95</v>
      </c>
      <c r="H189" s="99">
        <f t="shared" si="15"/>
        <v>0</v>
      </c>
      <c r="I189" s="99">
        <f t="shared" si="13"/>
        <v>-313911065</v>
      </c>
      <c r="J189" s="99">
        <f t="shared" si="16"/>
        <v>0</v>
      </c>
      <c r="K189" s="99">
        <f t="shared" si="17"/>
        <v>-313911065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94</v>
      </c>
      <c r="H190" s="99">
        <f t="shared" si="15"/>
        <v>0</v>
      </c>
      <c r="I190" s="99">
        <f t="shared" si="13"/>
        <v>-282084600</v>
      </c>
      <c r="J190" s="99">
        <f t="shared" si="16"/>
        <v>0</v>
      </c>
      <c r="K190" s="99">
        <f t="shared" si="17"/>
        <v>-282084600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93</v>
      </c>
      <c r="H191" s="99">
        <f t="shared" si="15"/>
        <v>0</v>
      </c>
      <c r="I191" s="99">
        <f t="shared" si="13"/>
        <v>-256763700</v>
      </c>
      <c r="J191" s="99">
        <f t="shared" si="16"/>
        <v>0</v>
      </c>
      <c r="K191" s="99">
        <f t="shared" si="17"/>
        <v>-256763700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88</v>
      </c>
      <c r="H192" s="99">
        <f t="shared" si="15"/>
        <v>1</v>
      </c>
      <c r="I192" s="99">
        <f t="shared" si="13"/>
        <v>87000000</v>
      </c>
      <c r="J192" s="99">
        <f t="shared" si="16"/>
        <v>0</v>
      </c>
      <c r="K192" s="99">
        <f t="shared" si="17"/>
        <v>87000000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87</v>
      </c>
      <c r="H193" s="99">
        <f t="shared" si="15"/>
        <v>0</v>
      </c>
      <c r="I193" s="99">
        <f t="shared" si="13"/>
        <v>-1305000</v>
      </c>
      <c r="J193" s="99">
        <f t="shared" si="16"/>
        <v>0</v>
      </c>
      <c r="K193" s="99">
        <f t="shared" si="17"/>
        <v>-1305000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85</v>
      </c>
      <c r="H194" s="99">
        <f t="shared" si="15"/>
        <v>0</v>
      </c>
      <c r="I194" s="99">
        <f t="shared" si="13"/>
        <v>-84150000</v>
      </c>
      <c r="J194" s="99">
        <f t="shared" si="16"/>
        <v>0</v>
      </c>
      <c r="K194" s="99">
        <f t="shared" si="17"/>
        <v>-84150000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85</v>
      </c>
      <c r="H195" s="99">
        <f t="shared" si="15"/>
        <v>1</v>
      </c>
      <c r="I195" s="99">
        <f t="shared" si="13"/>
        <v>65772000</v>
      </c>
      <c r="J195" s="99">
        <f t="shared" si="16"/>
        <v>0</v>
      </c>
      <c r="K195" s="99">
        <f t="shared" si="17"/>
        <v>65772000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83</v>
      </c>
      <c r="H196" s="99">
        <f t="shared" si="15"/>
        <v>0</v>
      </c>
      <c r="I196" s="99">
        <f t="shared" si="13"/>
        <v>-62291500</v>
      </c>
      <c r="J196" s="99">
        <f t="shared" si="16"/>
        <v>0</v>
      </c>
      <c r="K196" s="99">
        <f t="shared" si="17"/>
        <v>-62291500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81</v>
      </c>
      <c r="H197" s="99">
        <f t="shared" si="15"/>
        <v>1</v>
      </c>
      <c r="I197" s="99">
        <f t="shared" si="13"/>
        <v>56000000</v>
      </c>
      <c r="J197" s="99">
        <f t="shared" si="16"/>
        <v>0</v>
      </c>
      <c r="K197" s="99">
        <f t="shared" si="17"/>
        <v>56000000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81</v>
      </c>
      <c r="H198" s="99">
        <f t="shared" si="15"/>
        <v>0</v>
      </c>
      <c r="I198" s="99">
        <f t="shared" si="13"/>
        <v>-8019000</v>
      </c>
      <c r="J198" s="99">
        <f t="shared" si="16"/>
        <v>0</v>
      </c>
      <c r="K198" s="99">
        <f t="shared" si="17"/>
        <v>-8019000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80</v>
      </c>
      <c r="H199" s="99">
        <f t="shared" si="15"/>
        <v>0</v>
      </c>
      <c r="I199" s="99">
        <f t="shared" si="13"/>
        <v>-16460000</v>
      </c>
      <c r="J199" s="99">
        <f t="shared" si="16"/>
        <v>0</v>
      </c>
      <c r="K199" s="99">
        <f t="shared" si="17"/>
        <v>-16460000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80</v>
      </c>
      <c r="H200" s="99">
        <f t="shared" si="15"/>
        <v>0</v>
      </c>
      <c r="I200" s="99">
        <f t="shared" si="13"/>
        <v>-7600000</v>
      </c>
      <c r="J200" s="99">
        <f t="shared" si="16"/>
        <v>0</v>
      </c>
      <c r="K200" s="99">
        <f t="shared" si="17"/>
        <v>-7600000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77</v>
      </c>
      <c r="H201" s="99">
        <f t="shared" si="15"/>
        <v>1</v>
      </c>
      <c r="I201" s="99">
        <f t="shared" si="13"/>
        <v>3697400000</v>
      </c>
      <c r="J201" s="99">
        <f t="shared" si="16"/>
        <v>0</v>
      </c>
      <c r="K201" s="99">
        <f t="shared" si="17"/>
        <v>3697400000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77</v>
      </c>
      <c r="H202" s="99">
        <f t="shared" si="15"/>
        <v>0</v>
      </c>
      <c r="I202" s="99">
        <f t="shared" si="13"/>
        <v>-231069300</v>
      </c>
      <c r="J202" s="99">
        <f t="shared" si="16"/>
        <v>0</v>
      </c>
      <c r="K202" s="99">
        <f t="shared" si="17"/>
        <v>-231069300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77</v>
      </c>
      <c r="H203" s="99">
        <f t="shared" si="15"/>
        <v>0</v>
      </c>
      <c r="I203" s="99">
        <f t="shared" si="13"/>
        <v>-385000</v>
      </c>
      <c r="J203" s="99">
        <f t="shared" si="16"/>
        <v>0</v>
      </c>
      <c r="K203" s="99">
        <f t="shared" si="17"/>
        <v>-385000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77</v>
      </c>
      <c r="H204" s="99">
        <f t="shared" si="15"/>
        <v>0</v>
      </c>
      <c r="I204" s="99">
        <f t="shared" si="13"/>
        <v>-2579500000</v>
      </c>
      <c r="J204" s="99">
        <f t="shared" si="16"/>
        <v>0</v>
      </c>
      <c r="K204" s="99">
        <f t="shared" si="17"/>
        <v>-2579500000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6" si="19">G206+F205</f>
        <v>76</v>
      </c>
      <c r="H205" s="99">
        <f t="shared" si="15"/>
        <v>0</v>
      </c>
      <c r="I205" s="99">
        <f t="shared" si="13"/>
        <v>-945060000</v>
      </c>
      <c r="J205" s="99">
        <f t="shared" si="16"/>
        <v>0</v>
      </c>
      <c r="K205" s="99">
        <f t="shared" si="17"/>
        <v>-945060000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73</v>
      </c>
      <c r="H206" s="99">
        <f t="shared" si="15"/>
        <v>0</v>
      </c>
      <c r="I206" s="99">
        <f t="shared" si="13"/>
        <v>-1350500</v>
      </c>
      <c r="J206" s="99">
        <f t="shared" si="16"/>
        <v>0</v>
      </c>
      <c r="K206" s="99">
        <f t="shared" si="17"/>
        <v>-1350500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71</v>
      </c>
      <c r="H207" s="99">
        <f t="shared" si="15"/>
        <v>1</v>
      </c>
      <c r="I207" s="99">
        <f t="shared" si="13"/>
        <v>1013600</v>
      </c>
      <c r="J207" s="99">
        <f t="shared" ref="J207:J266" si="20">C207*(G207-H207)</f>
        <v>4961180</v>
      </c>
      <c r="K207" s="99">
        <f t="shared" si="17"/>
        <v>-3947580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70</v>
      </c>
      <c r="H208" s="99">
        <f t="shared" si="15"/>
        <v>1</v>
      </c>
      <c r="I208" s="99">
        <f t="shared" si="13"/>
        <v>57270000</v>
      </c>
      <c r="J208" s="99">
        <f t="shared" si="20"/>
        <v>0</v>
      </c>
      <c r="K208" s="99">
        <f t="shared" si="17"/>
        <v>57270000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68</v>
      </c>
      <c r="H209" s="99">
        <f t="shared" si="15"/>
        <v>0</v>
      </c>
      <c r="I209" s="99">
        <f t="shared" si="13"/>
        <v>-3565920</v>
      </c>
      <c r="J209" s="99">
        <f t="shared" si="20"/>
        <v>0</v>
      </c>
      <c r="K209" s="99">
        <f t="shared" si="17"/>
        <v>-3565920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67</v>
      </c>
      <c r="H210" s="99">
        <f t="shared" si="15"/>
        <v>0</v>
      </c>
      <c r="I210" s="99">
        <f t="shared" si="13"/>
        <v>-3423700</v>
      </c>
      <c r="J210" s="99">
        <f t="shared" si="20"/>
        <v>0</v>
      </c>
      <c r="K210" s="99">
        <f t="shared" si="17"/>
        <v>-3423700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66</v>
      </c>
      <c r="H211" s="99">
        <f t="shared" si="15"/>
        <v>0</v>
      </c>
      <c r="I211" s="99">
        <f t="shared" si="13"/>
        <v>-13200000</v>
      </c>
      <c r="J211" s="99">
        <f t="shared" si="20"/>
        <v>0</v>
      </c>
      <c r="K211" s="99">
        <f t="shared" si="17"/>
        <v>-13200000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65</v>
      </c>
      <c r="H212" s="99">
        <f t="shared" si="15"/>
        <v>0</v>
      </c>
      <c r="I212" s="99">
        <f t="shared" si="13"/>
        <v>-1820000</v>
      </c>
      <c r="J212" s="99">
        <f t="shared" si="20"/>
        <v>0</v>
      </c>
      <c r="K212" s="99">
        <f t="shared" si="17"/>
        <v>-1820000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64</v>
      </c>
      <c r="H213" s="99">
        <f t="shared" si="15"/>
        <v>0</v>
      </c>
      <c r="I213" s="99">
        <f t="shared" si="13"/>
        <v>-3782400</v>
      </c>
      <c r="J213" s="99">
        <f t="shared" si="20"/>
        <v>0</v>
      </c>
      <c r="K213" s="99">
        <f t="shared" si="17"/>
        <v>-3782400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63</v>
      </c>
      <c r="H214" s="99">
        <f t="shared" si="15"/>
        <v>0</v>
      </c>
      <c r="I214" s="99">
        <f t="shared" si="13"/>
        <v>-1890000</v>
      </c>
      <c r="J214" s="99">
        <f t="shared" si="20"/>
        <v>0</v>
      </c>
      <c r="K214" s="99">
        <f t="shared" si="17"/>
        <v>-1890000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63</v>
      </c>
      <c r="H215" s="99">
        <f t="shared" si="15"/>
        <v>0</v>
      </c>
      <c r="I215" s="99">
        <f t="shared" si="13"/>
        <v>-11214000</v>
      </c>
      <c r="J215" s="99">
        <f t="shared" si="20"/>
        <v>0</v>
      </c>
      <c r="K215" s="99">
        <f t="shared" si="17"/>
        <v>-11214000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62</v>
      </c>
      <c r="H216" s="99">
        <f t="shared" si="15"/>
        <v>0</v>
      </c>
      <c r="I216" s="99">
        <f t="shared" si="13"/>
        <v>-5927820</v>
      </c>
      <c r="J216" s="99">
        <f t="shared" si="20"/>
        <v>0</v>
      </c>
      <c r="K216" s="99">
        <f t="shared" si="17"/>
        <v>-5927820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59</v>
      </c>
      <c r="H217" s="99">
        <f t="shared" si="15"/>
        <v>0</v>
      </c>
      <c r="I217" s="99">
        <f t="shared" si="13"/>
        <v>-4956000</v>
      </c>
      <c r="J217" s="99">
        <f t="shared" si="20"/>
        <v>0</v>
      </c>
      <c r="K217" s="99">
        <f t="shared" si="17"/>
        <v>-4956000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57</v>
      </c>
      <c r="H218" s="99">
        <f t="shared" si="15"/>
        <v>0</v>
      </c>
      <c r="I218" s="99">
        <f t="shared" si="13"/>
        <v>-1881000</v>
      </c>
      <c r="J218" s="99">
        <f t="shared" si="20"/>
        <v>0</v>
      </c>
      <c r="K218" s="99">
        <f t="shared" si="17"/>
        <v>-1881000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54</v>
      </c>
      <c r="H219" s="99">
        <f t="shared" si="15"/>
        <v>1</v>
      </c>
      <c r="I219" s="99">
        <f t="shared" si="13"/>
        <v>82044000</v>
      </c>
      <c r="J219" s="99">
        <f t="shared" si="20"/>
        <v>0</v>
      </c>
      <c r="K219" s="99">
        <f t="shared" si="17"/>
        <v>82044000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53</v>
      </c>
      <c r="H220" s="99">
        <f t="shared" si="15"/>
        <v>0</v>
      </c>
      <c r="I220" s="99">
        <f t="shared" si="13"/>
        <v>-74237100</v>
      </c>
      <c r="J220" s="99">
        <f t="shared" si="20"/>
        <v>0</v>
      </c>
      <c r="K220" s="99">
        <f t="shared" si="17"/>
        <v>-74237100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53</v>
      </c>
      <c r="H221" s="99">
        <f t="shared" si="15"/>
        <v>0</v>
      </c>
      <c r="I221" s="99">
        <f t="shared" si="13"/>
        <v>-530000</v>
      </c>
      <c r="J221" s="99">
        <f t="shared" si="20"/>
        <v>0</v>
      </c>
      <c r="K221" s="99">
        <f t="shared" si="17"/>
        <v>-530000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53</v>
      </c>
      <c r="H222" s="99">
        <f t="shared" si="15"/>
        <v>0</v>
      </c>
      <c r="I222" s="99">
        <f t="shared" si="13"/>
        <v>-265000</v>
      </c>
      <c r="J222" s="99">
        <f t="shared" si="20"/>
        <v>-132500</v>
      </c>
      <c r="K222" s="99">
        <f t="shared" si="17"/>
        <v>-132500</v>
      </c>
    </row>
    <row r="223" spans="1:13">
      <c r="A223" s="99" t="s">
        <v>4269</v>
      </c>
      <c r="B223" s="18">
        <v>-190000</v>
      </c>
      <c r="C223" s="18">
        <v>0</v>
      </c>
      <c r="D223" s="18">
        <f t="shared" si="18"/>
        <v>-190000</v>
      </c>
      <c r="E223" s="99" t="s">
        <v>4270</v>
      </c>
      <c r="F223" s="99">
        <v>7</v>
      </c>
      <c r="G223" s="36">
        <f t="shared" si="21"/>
        <v>47</v>
      </c>
      <c r="H223" s="99">
        <f t="shared" si="15"/>
        <v>0</v>
      </c>
      <c r="I223" s="99">
        <f t="shared" si="13"/>
        <v>-8930000</v>
      </c>
      <c r="J223" s="99">
        <f t="shared" si="20"/>
        <v>0</v>
      </c>
      <c r="K223" s="99">
        <f t="shared" si="17"/>
        <v>-8930000</v>
      </c>
      <c r="M223" t="s">
        <v>25</v>
      </c>
    </row>
    <row r="224" spans="1:13">
      <c r="A224" s="99" t="s">
        <v>4299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40</v>
      </c>
      <c r="H224" s="99">
        <f t="shared" si="15"/>
        <v>1</v>
      </c>
      <c r="I224" s="99">
        <f t="shared" si="13"/>
        <v>74529</v>
      </c>
      <c r="J224" s="99">
        <f t="shared" si="20"/>
        <v>2533908</v>
      </c>
      <c r="K224" s="99">
        <f t="shared" si="17"/>
        <v>-2459379</v>
      </c>
      <c r="M224" t="s">
        <v>25</v>
      </c>
    </row>
    <row r="225" spans="1:13">
      <c r="A225" s="99" t="s">
        <v>4318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34</v>
      </c>
      <c r="H225" s="99">
        <f t="shared" si="15"/>
        <v>1</v>
      </c>
      <c r="I225" s="99">
        <f t="shared" si="13"/>
        <v>165000000</v>
      </c>
      <c r="J225" s="99">
        <f t="shared" si="20"/>
        <v>0</v>
      </c>
      <c r="K225" s="99">
        <f t="shared" si="17"/>
        <v>165000000</v>
      </c>
    </row>
    <row r="226" spans="1:13">
      <c r="A226" s="99" t="s">
        <v>4324</v>
      </c>
      <c r="B226" s="18">
        <v>-3200000</v>
      </c>
      <c r="C226" s="18">
        <v>0</v>
      </c>
      <c r="D226" s="18">
        <f t="shared" si="18"/>
        <v>-3200000</v>
      </c>
      <c r="E226" s="99" t="s">
        <v>4337</v>
      </c>
      <c r="F226" s="99">
        <v>0</v>
      </c>
      <c r="G226" s="36">
        <f t="shared" si="21"/>
        <v>33</v>
      </c>
      <c r="H226" s="99">
        <f t="shared" si="15"/>
        <v>0</v>
      </c>
      <c r="I226" s="99">
        <f t="shared" si="13"/>
        <v>-105600000</v>
      </c>
      <c r="J226" s="99">
        <f t="shared" si="20"/>
        <v>0</v>
      </c>
      <c r="K226" s="99">
        <f t="shared" si="17"/>
        <v>-105600000</v>
      </c>
    </row>
    <row r="227" spans="1:13">
      <c r="A227" s="99" t="s">
        <v>4324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33</v>
      </c>
      <c r="H227" s="99">
        <f t="shared" si="15"/>
        <v>1</v>
      </c>
      <c r="I227" s="99">
        <f t="shared" si="13"/>
        <v>76800000</v>
      </c>
      <c r="J227" s="99">
        <f t="shared" si="20"/>
        <v>0</v>
      </c>
      <c r="K227" s="99">
        <f t="shared" si="17"/>
        <v>76800000</v>
      </c>
    </row>
    <row r="228" spans="1:13">
      <c r="A228" s="99" t="s">
        <v>4354</v>
      </c>
      <c r="B228" s="18">
        <v>-50000</v>
      </c>
      <c r="C228" s="18">
        <v>0</v>
      </c>
      <c r="D228" s="18">
        <f t="shared" si="18"/>
        <v>-50000</v>
      </c>
      <c r="E228" s="99" t="s">
        <v>4358</v>
      </c>
      <c r="F228" s="99">
        <v>1</v>
      </c>
      <c r="G228" s="36">
        <f t="shared" si="21"/>
        <v>31</v>
      </c>
      <c r="H228" s="99">
        <f t="shared" si="15"/>
        <v>0</v>
      </c>
      <c r="I228" s="99">
        <f t="shared" si="13"/>
        <v>-1550000</v>
      </c>
      <c r="J228" s="99">
        <f t="shared" si="20"/>
        <v>0</v>
      </c>
      <c r="K228" s="99">
        <f t="shared" si="17"/>
        <v>-1550000</v>
      </c>
    </row>
    <row r="229" spans="1:13">
      <c r="A229" s="99" t="s">
        <v>4347</v>
      </c>
      <c r="B229" s="18">
        <v>-4100700</v>
      </c>
      <c r="C229" s="18">
        <v>0</v>
      </c>
      <c r="D229" s="18">
        <f t="shared" si="18"/>
        <v>-4100700</v>
      </c>
      <c r="E229" s="99" t="s">
        <v>4359</v>
      </c>
      <c r="F229" s="99">
        <v>4</v>
      </c>
      <c r="G229" s="36">
        <f t="shared" si="21"/>
        <v>30</v>
      </c>
      <c r="H229" s="99">
        <f t="shared" si="15"/>
        <v>0</v>
      </c>
      <c r="I229" s="99">
        <f t="shared" si="13"/>
        <v>-123021000</v>
      </c>
      <c r="J229" s="99">
        <f t="shared" si="20"/>
        <v>0</v>
      </c>
      <c r="K229" s="99">
        <f t="shared" si="17"/>
        <v>-123021000</v>
      </c>
    </row>
    <row r="230" spans="1:13">
      <c r="A230" s="99" t="s">
        <v>4367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26</v>
      </c>
      <c r="H230" s="99">
        <f t="shared" si="15"/>
        <v>1</v>
      </c>
      <c r="I230" s="99">
        <f t="shared" si="13"/>
        <v>242500000</v>
      </c>
      <c r="J230" s="99">
        <f t="shared" si="20"/>
        <v>0</v>
      </c>
      <c r="K230" s="99">
        <f t="shared" si="17"/>
        <v>242500000</v>
      </c>
    </row>
    <row r="231" spans="1:13">
      <c r="A231" s="99" t="s">
        <v>4367</v>
      </c>
      <c r="B231" s="18">
        <v>-3000900</v>
      </c>
      <c r="C231" s="18">
        <v>0</v>
      </c>
      <c r="D231" s="18">
        <f t="shared" si="18"/>
        <v>-3000900</v>
      </c>
      <c r="E231" s="99" t="s">
        <v>4375</v>
      </c>
      <c r="F231" s="99">
        <v>1</v>
      </c>
      <c r="G231" s="36">
        <f t="shared" si="21"/>
        <v>26</v>
      </c>
      <c r="H231" s="99">
        <f t="shared" si="15"/>
        <v>0</v>
      </c>
      <c r="I231" s="99">
        <f t="shared" si="13"/>
        <v>-78023400</v>
      </c>
      <c r="J231" s="99">
        <f t="shared" si="20"/>
        <v>0</v>
      </c>
      <c r="K231" s="99">
        <f t="shared" si="17"/>
        <v>-78023400</v>
      </c>
    </row>
    <row r="232" spans="1:13">
      <c r="A232" s="99" t="s">
        <v>4368</v>
      </c>
      <c r="B232" s="18">
        <v>-3000900</v>
      </c>
      <c r="C232" s="18">
        <v>0</v>
      </c>
      <c r="D232" s="18">
        <f t="shared" si="18"/>
        <v>-3000900</v>
      </c>
      <c r="E232" s="99" t="s">
        <v>4375</v>
      </c>
      <c r="F232" s="99">
        <v>0</v>
      </c>
      <c r="G232" s="36">
        <f t="shared" si="21"/>
        <v>25</v>
      </c>
      <c r="H232" s="99">
        <f t="shared" si="15"/>
        <v>0</v>
      </c>
      <c r="I232" s="99">
        <f t="shared" si="13"/>
        <v>-75022500</v>
      </c>
      <c r="J232" s="99">
        <f t="shared" si="20"/>
        <v>0</v>
      </c>
      <c r="K232" s="99">
        <f t="shared" si="17"/>
        <v>-75022500</v>
      </c>
    </row>
    <row r="233" spans="1:13">
      <c r="A233" s="99" t="s">
        <v>4368</v>
      </c>
      <c r="B233" s="18">
        <v>-555000</v>
      </c>
      <c r="C233" s="18">
        <v>0</v>
      </c>
      <c r="D233" s="18">
        <f t="shared" si="18"/>
        <v>-555000</v>
      </c>
      <c r="E233" s="99" t="s">
        <v>4270</v>
      </c>
      <c r="F233" s="99">
        <v>1</v>
      </c>
      <c r="G233" s="36">
        <f t="shared" si="21"/>
        <v>25</v>
      </c>
      <c r="H233" s="99">
        <f t="shared" si="15"/>
        <v>0</v>
      </c>
      <c r="I233" s="99">
        <f t="shared" si="13"/>
        <v>-13875000</v>
      </c>
      <c r="J233" s="99">
        <f t="shared" si="20"/>
        <v>0</v>
      </c>
      <c r="K233" s="99">
        <f t="shared" si="17"/>
        <v>-13875000</v>
      </c>
    </row>
    <row r="234" spans="1:13">
      <c r="A234" s="99" t="s">
        <v>4387</v>
      </c>
      <c r="B234" s="18">
        <v>-138360</v>
      </c>
      <c r="C234" s="18">
        <v>0</v>
      </c>
      <c r="D234" s="18">
        <f t="shared" si="18"/>
        <v>-138360</v>
      </c>
      <c r="E234" s="99" t="s">
        <v>4389</v>
      </c>
      <c r="F234" s="99">
        <v>1</v>
      </c>
      <c r="G234" s="36">
        <f t="shared" si="21"/>
        <v>24</v>
      </c>
      <c r="H234" s="99">
        <f t="shared" si="15"/>
        <v>0</v>
      </c>
      <c r="I234" s="99">
        <f t="shared" si="13"/>
        <v>-3320640</v>
      </c>
      <c r="J234" s="99">
        <f t="shared" si="20"/>
        <v>0</v>
      </c>
      <c r="K234" s="99">
        <f t="shared" si="17"/>
        <v>-3320640</v>
      </c>
    </row>
    <row r="235" spans="1:13">
      <c r="A235" s="99" t="s">
        <v>4390</v>
      </c>
      <c r="B235" s="18">
        <v>-3000900</v>
      </c>
      <c r="C235" s="18">
        <v>0</v>
      </c>
      <c r="D235" s="18">
        <f t="shared" si="18"/>
        <v>-3000900</v>
      </c>
      <c r="E235" s="99" t="s">
        <v>4375</v>
      </c>
      <c r="F235" s="99">
        <v>2</v>
      </c>
      <c r="G235" s="36">
        <f t="shared" si="21"/>
        <v>23</v>
      </c>
      <c r="H235" s="99">
        <f t="shared" si="15"/>
        <v>0</v>
      </c>
      <c r="I235" s="99">
        <f t="shared" si="13"/>
        <v>-69020700</v>
      </c>
      <c r="J235" s="99">
        <f t="shared" si="20"/>
        <v>0</v>
      </c>
      <c r="K235" s="99">
        <f t="shared" si="17"/>
        <v>-69020700</v>
      </c>
      <c r="M235" t="s">
        <v>25</v>
      </c>
    </row>
    <row r="236" spans="1:13">
      <c r="A236" s="99" t="s">
        <v>4397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21</v>
      </c>
      <c r="H236" s="99">
        <f t="shared" si="15"/>
        <v>0</v>
      </c>
      <c r="I236" s="99">
        <f t="shared" si="13"/>
        <v>-1155000</v>
      </c>
      <c r="J236" s="99">
        <f t="shared" si="20"/>
        <v>0</v>
      </c>
      <c r="K236" s="99">
        <f t="shared" si="17"/>
        <v>-1155000</v>
      </c>
    </row>
    <row r="237" spans="1:13">
      <c r="A237" s="99" t="s">
        <v>4416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17</v>
      </c>
      <c r="H237" s="99">
        <f t="shared" si="15"/>
        <v>1</v>
      </c>
      <c r="I237" s="99">
        <f t="shared" si="13"/>
        <v>96560000</v>
      </c>
      <c r="J237" s="99">
        <f t="shared" si="20"/>
        <v>0</v>
      </c>
      <c r="K237" s="99">
        <f t="shared" si="17"/>
        <v>96560000</v>
      </c>
    </row>
    <row r="238" spans="1:13">
      <c r="A238" s="99" t="s">
        <v>4423</v>
      </c>
      <c r="B238" s="18">
        <v>-7500</v>
      </c>
      <c r="C238" s="18">
        <v>0</v>
      </c>
      <c r="D238" s="18">
        <f t="shared" si="18"/>
        <v>-7500</v>
      </c>
      <c r="E238" s="99" t="s">
        <v>4424</v>
      </c>
      <c r="F238" s="99">
        <v>1</v>
      </c>
      <c r="G238" s="36">
        <f t="shared" si="21"/>
        <v>15</v>
      </c>
      <c r="H238" s="99">
        <f t="shared" si="15"/>
        <v>0</v>
      </c>
      <c r="I238" s="99">
        <f t="shared" si="13"/>
        <v>-112500</v>
      </c>
      <c r="J238" s="99">
        <f t="shared" si="20"/>
        <v>0</v>
      </c>
      <c r="K238" s="99">
        <f t="shared" si="17"/>
        <v>-112500</v>
      </c>
    </row>
    <row r="239" spans="1:13">
      <c r="A239" s="99" t="s">
        <v>4425</v>
      </c>
      <c r="B239" s="18">
        <v>-4098523</v>
      </c>
      <c r="C239" s="18">
        <v>0</v>
      </c>
      <c r="D239" s="18">
        <f t="shared" si="18"/>
        <v>-4098523</v>
      </c>
      <c r="E239" s="99" t="s">
        <v>4426</v>
      </c>
      <c r="F239" s="99">
        <v>0</v>
      </c>
      <c r="G239" s="36">
        <f t="shared" si="21"/>
        <v>14</v>
      </c>
      <c r="H239" s="99">
        <f t="shared" si="15"/>
        <v>0</v>
      </c>
      <c r="I239" s="99">
        <f t="shared" si="13"/>
        <v>-57379322</v>
      </c>
      <c r="J239" s="99">
        <f t="shared" si="20"/>
        <v>0</v>
      </c>
      <c r="K239" s="99">
        <f t="shared" si="17"/>
        <v>-57379322</v>
      </c>
    </row>
    <row r="240" spans="1:13">
      <c r="A240" s="99" t="s">
        <v>4427</v>
      </c>
      <c r="B240" s="18">
        <v>-33225</v>
      </c>
      <c r="C240" s="18">
        <v>0</v>
      </c>
      <c r="D240" s="18">
        <f t="shared" si="18"/>
        <v>-33225</v>
      </c>
      <c r="E240" s="99" t="s">
        <v>4270</v>
      </c>
      <c r="F240" s="99">
        <v>0</v>
      </c>
      <c r="G240" s="36">
        <f t="shared" si="21"/>
        <v>14</v>
      </c>
      <c r="H240" s="99">
        <f t="shared" si="15"/>
        <v>0</v>
      </c>
      <c r="I240" s="99">
        <f t="shared" si="13"/>
        <v>-465150</v>
      </c>
      <c r="J240" s="99">
        <f t="shared" si="20"/>
        <v>0</v>
      </c>
      <c r="K240" s="99">
        <f t="shared" si="17"/>
        <v>-465150</v>
      </c>
    </row>
    <row r="241" spans="1:13">
      <c r="A241" s="99" t="s">
        <v>4427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14</v>
      </c>
      <c r="H241" s="99">
        <f t="shared" si="15"/>
        <v>0</v>
      </c>
      <c r="I241" s="99">
        <f t="shared" si="13"/>
        <v>-26530000</v>
      </c>
      <c r="J241" s="99">
        <f t="shared" si="20"/>
        <v>0</v>
      </c>
      <c r="K241" s="99">
        <f t="shared" si="17"/>
        <v>-26530000</v>
      </c>
    </row>
    <row r="242" spans="1:13">
      <c r="A242" s="99" t="s">
        <v>4473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7</v>
      </c>
      <c r="H242" s="99">
        <f t="shared" si="15"/>
        <v>1</v>
      </c>
      <c r="I242" s="99">
        <f t="shared" si="13"/>
        <v>15000000</v>
      </c>
      <c r="J242" s="99">
        <f t="shared" si="20"/>
        <v>0</v>
      </c>
      <c r="K242" s="99">
        <f t="shared" si="17"/>
        <v>15000000</v>
      </c>
    </row>
    <row r="243" spans="1:13">
      <c r="A243" s="99" t="s">
        <v>4483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5</v>
      </c>
      <c r="H243" s="99">
        <f t="shared" si="15"/>
        <v>0</v>
      </c>
      <c r="I243" s="99">
        <f t="shared" si="13"/>
        <v>-12500000</v>
      </c>
      <c r="J243" s="99">
        <f t="shared" si="20"/>
        <v>0</v>
      </c>
      <c r="K243" s="99">
        <f t="shared" si="17"/>
        <v>-12500000</v>
      </c>
    </row>
    <row r="244" spans="1:13">
      <c r="A244" s="99" t="s">
        <v>4494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3</v>
      </c>
      <c r="H244" s="99">
        <f t="shared" si="15"/>
        <v>1</v>
      </c>
      <c r="I244" s="99">
        <f t="shared" si="13"/>
        <v>2200000</v>
      </c>
      <c r="J244" s="99">
        <f t="shared" si="20"/>
        <v>0</v>
      </c>
      <c r="K244" s="99">
        <f t="shared" si="17"/>
        <v>2200000</v>
      </c>
    </row>
    <row r="245" spans="1:13">
      <c r="A245" s="99" t="s">
        <v>4502</v>
      </c>
      <c r="B245" s="18">
        <v>3000000</v>
      </c>
      <c r="C245" s="18">
        <v>0</v>
      </c>
      <c r="D245" s="18">
        <f t="shared" si="18"/>
        <v>3000000</v>
      </c>
      <c r="E245" s="99" t="s">
        <v>4504</v>
      </c>
      <c r="F245" s="99">
        <v>1</v>
      </c>
      <c r="G245" s="36">
        <f t="shared" si="21"/>
        <v>1</v>
      </c>
      <c r="H245" s="99">
        <f t="shared" si="15"/>
        <v>1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4107770</v>
      </c>
      <c r="C267" s="29">
        <f>SUM(C2:C256)</f>
        <v>7968789</v>
      </c>
      <c r="D267" s="29">
        <f>SUM(D2:D254)</f>
        <v>-3861019</v>
      </c>
      <c r="E267" s="11"/>
      <c r="F267" s="11"/>
      <c r="G267" s="11"/>
      <c r="H267" s="11"/>
      <c r="I267" s="29">
        <f>SUM(I2:I266)</f>
        <v>18812301481</v>
      </c>
      <c r="J267" s="29">
        <f>SUM(J2:J266)</f>
        <v>8615966328</v>
      </c>
      <c r="K267" s="29">
        <f>SUM(K2:K266)</f>
        <v>10196335153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19494612.933678757</v>
      </c>
      <c r="J270" s="29">
        <f>J267/G2</f>
        <v>8928462.5160621759</v>
      </c>
      <c r="K270" s="29">
        <f>K267/G2</f>
        <v>10566150.41761658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-2664380</v>
      </c>
      <c r="G274" t="s">
        <v>25</v>
      </c>
      <c r="J274">
        <f>J267/I267*1448696</f>
        <v>663497.55069121881</v>
      </c>
      <c r="K274">
        <f>K267/I267*1448696</f>
        <v>785198.4493087813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4377</v>
      </c>
      <c r="L21" s="33" t="s">
        <v>4379</v>
      </c>
      <c r="M21" s="96" t="s">
        <v>4378</v>
      </c>
      <c r="N21" s="192" t="s">
        <v>4380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4341</v>
      </c>
      <c r="L23">
        <v>9149046982</v>
      </c>
      <c r="M23" t="s">
        <v>4342</v>
      </c>
      <c r="N23" t="s">
        <v>4343</v>
      </c>
      <c r="O23" t="s">
        <v>4344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4345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4346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6"/>
  <sheetViews>
    <sheetView tabSelected="1" topLeftCell="E5" zoomScaleNormal="100" workbookViewId="0">
      <selection activeCell="L24" sqref="L24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4.85546875" style="96" bestFit="1" customWidth="1"/>
    <col min="48" max="48" width="14.14062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4361</v>
      </c>
      <c r="AT9" s="99" t="s">
        <v>4362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4384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4363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3800000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-3861019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4306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4383</v>
      </c>
      <c r="V19" s="73" t="s">
        <v>4385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4514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S50</f>
        <v>66</v>
      </c>
      <c r="T20" s="169" t="s">
        <v>4322</v>
      </c>
      <c r="U20" s="169">
        <v>192.1</v>
      </c>
      <c r="V20" s="169">
        <f t="shared" ref="V20:V30" si="4">U20*(1+$N$81+$Q$15*S20/36500)</f>
        <v>203.97756931506851</v>
      </c>
      <c r="W20" s="32">
        <f t="shared" ref="W20:W30" si="5">V20*(1+$W$19/100)</f>
        <v>208.05712070136988</v>
      </c>
      <c r="X20" s="32">
        <f t="shared" ref="X20:X30" si="6">V20*(1+$X$19/100)</f>
        <v>212.13667208767126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240</v>
      </c>
      <c r="AM20" s="113">
        <f>AJ20*AL20</f>
        <v>4320000000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4529</v>
      </c>
      <c r="L21" s="117">
        <f>-N34</f>
        <v>63114769.713720106</v>
      </c>
      <c r="M21" s="169" t="s">
        <v>4314</v>
      </c>
      <c r="N21" s="113">
        <f t="shared" ref="N21:N30" si="7">O21*P21</f>
        <v>11045497</v>
      </c>
      <c r="O21" s="99">
        <v>64745</v>
      </c>
      <c r="P21" s="190">
        <f>P45</f>
        <v>170.6</v>
      </c>
      <c r="Q21" s="170">
        <v>1450345</v>
      </c>
      <c r="R21" s="169" t="s">
        <v>4318</v>
      </c>
      <c r="S21" s="196">
        <f>S20-36</f>
        <v>30</v>
      </c>
      <c r="T21" s="169" t="s">
        <v>4323</v>
      </c>
      <c r="U21" s="169">
        <v>313.7</v>
      </c>
      <c r="V21" s="169">
        <f t="shared" si="4"/>
        <v>324.43283726027403</v>
      </c>
      <c r="W21" s="32">
        <f t="shared" si="5"/>
        <v>330.92149400547953</v>
      </c>
      <c r="X21" s="32">
        <f t="shared" si="6"/>
        <v>337.41015075068498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239</v>
      </c>
      <c r="AM21" s="113">
        <f t="shared" ref="AM21:AM96" si="9">AJ21*AL21</f>
        <v>597500000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L62</f>
        <v>262412900.71372008</v>
      </c>
      <c r="G22" s="95">
        <f t="shared" si="0"/>
        <v>5561512.0024732053</v>
      </c>
      <c r="H22" s="11"/>
      <c r="I22" s="96"/>
      <c r="J22" s="96"/>
      <c r="K22" s="169" t="s">
        <v>4532</v>
      </c>
      <c r="L22" s="117">
        <f>'آذر 97'!D39</f>
        <v>0</v>
      </c>
      <c r="M22" s="169" t="s">
        <v>4327</v>
      </c>
      <c r="N22" s="113">
        <f t="shared" si="7"/>
        <v>9327513.5999999996</v>
      </c>
      <c r="O22" s="99">
        <v>33504</v>
      </c>
      <c r="P22" s="190">
        <f>P48</f>
        <v>278.39999999999998</v>
      </c>
      <c r="Q22" s="170">
        <v>400069</v>
      </c>
      <c r="R22" s="169" t="s">
        <v>4324</v>
      </c>
      <c r="S22" s="196">
        <f>S21-1</f>
        <v>29</v>
      </c>
      <c r="T22" s="169" t="s">
        <v>4325</v>
      </c>
      <c r="U22" s="169">
        <v>314.8</v>
      </c>
      <c r="V22" s="169">
        <f t="shared" si="4"/>
        <v>325.32898191780822</v>
      </c>
      <c r="W22" s="32">
        <f t="shared" si="5"/>
        <v>331.83556155616441</v>
      </c>
      <c r="X22" s="32">
        <f t="shared" si="6"/>
        <v>338.34214119452054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238</v>
      </c>
      <c r="AM22" s="113">
        <f t="shared" si="9"/>
        <v>1904000000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40000</v>
      </c>
      <c r="M23" s="169" t="s">
        <v>4485</v>
      </c>
      <c r="N23" s="113">
        <f t="shared" si="7"/>
        <v>160517.70000000001</v>
      </c>
      <c r="O23" s="99">
        <v>399</v>
      </c>
      <c r="P23" s="190">
        <f>P47</f>
        <v>402.3</v>
      </c>
      <c r="Q23" s="170">
        <v>8690518</v>
      </c>
      <c r="R23" s="169" t="s">
        <v>4324</v>
      </c>
      <c r="S23" s="196">
        <f>S22</f>
        <v>29</v>
      </c>
      <c r="T23" s="169" t="s">
        <v>4326</v>
      </c>
      <c r="U23" s="169">
        <v>313</v>
      </c>
      <c r="V23" s="169">
        <f t="shared" si="4"/>
        <v>323.46877808219176</v>
      </c>
      <c r="W23" s="32">
        <f t="shared" si="5"/>
        <v>329.93815364383562</v>
      </c>
      <c r="X23" s="32">
        <f t="shared" si="6"/>
        <v>336.40752920547942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237</v>
      </c>
      <c r="AM23" s="113">
        <f t="shared" si="9"/>
        <v>-18853824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4418</v>
      </c>
      <c r="N24" s="113">
        <f t="shared" si="7"/>
        <v>3741927.1999999997</v>
      </c>
      <c r="O24" s="99">
        <v>781</v>
      </c>
      <c r="P24" s="99">
        <f>P49</f>
        <v>4791.2</v>
      </c>
      <c r="Q24" s="170">
        <v>595156</v>
      </c>
      <c r="R24" s="169" t="s">
        <v>4416</v>
      </c>
      <c r="S24" s="197">
        <f>S23-16</f>
        <v>13</v>
      </c>
      <c r="T24" s="169" t="s">
        <v>4419</v>
      </c>
      <c r="U24" s="169">
        <v>5808.5</v>
      </c>
      <c r="V24" s="169">
        <f t="shared" si="4"/>
        <v>5931.481063013699</v>
      </c>
      <c r="W24" s="32">
        <f t="shared" si="5"/>
        <v>6050.1106842739728</v>
      </c>
      <c r="X24" s="32">
        <f t="shared" si="6"/>
        <v>6168.7403055342475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236</v>
      </c>
      <c r="AM24" s="113">
        <f t="shared" si="9"/>
        <v>39058000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4449</v>
      </c>
      <c r="N25" s="113">
        <f t="shared" si="7"/>
        <v>136842.29999999999</v>
      </c>
      <c r="O25" s="69">
        <v>749</v>
      </c>
      <c r="P25" s="99">
        <f>P51</f>
        <v>182.7</v>
      </c>
      <c r="Q25" s="170">
        <v>142593</v>
      </c>
      <c r="R25" s="169" t="s">
        <v>4443</v>
      </c>
      <c r="S25" s="169">
        <f>S24-5</f>
        <v>8</v>
      </c>
      <c r="T25" s="169" t="s">
        <v>4452</v>
      </c>
      <c r="U25" s="169">
        <v>189.5</v>
      </c>
      <c r="V25" s="169">
        <f t="shared" si="4"/>
        <v>192.78535890410961</v>
      </c>
      <c r="W25" s="32">
        <f t="shared" si="5"/>
        <v>196.6410660821918</v>
      </c>
      <c r="X25" s="32">
        <f t="shared" si="6"/>
        <v>200.49677326027401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224</v>
      </c>
      <c r="AM25" s="113">
        <f t="shared" si="9"/>
        <v>-6457993248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69"/>
      <c r="P26" s="99"/>
      <c r="Q26" s="170">
        <v>1484689</v>
      </c>
      <c r="R26" s="169" t="s">
        <v>4464</v>
      </c>
      <c r="S26" s="169">
        <f>S25-2</f>
        <v>6</v>
      </c>
      <c r="T26" s="19" t="s">
        <v>4468</v>
      </c>
      <c r="U26" s="169">
        <v>5474</v>
      </c>
      <c r="V26" s="169">
        <f t="shared" si="4"/>
        <v>5560.5041972602739</v>
      </c>
      <c r="W26" s="32">
        <f t="shared" si="5"/>
        <v>5671.7142812054799</v>
      </c>
      <c r="X26" s="32">
        <f t="shared" si="6"/>
        <v>5782.9243651506849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218</v>
      </c>
      <c r="AM26" s="113">
        <f t="shared" si="9"/>
        <v>4033000000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4516</v>
      </c>
      <c r="N27" s="113">
        <v>0</v>
      </c>
      <c r="O27" s="69"/>
      <c r="P27" s="99"/>
      <c r="Q27" s="170">
        <v>2197673</v>
      </c>
      <c r="R27" s="169" t="s">
        <v>4464</v>
      </c>
      <c r="S27" s="169">
        <f>S26</f>
        <v>6</v>
      </c>
      <c r="T27" s="19" t="s">
        <v>4469</v>
      </c>
      <c r="U27" s="169">
        <v>5349</v>
      </c>
      <c r="V27" s="169">
        <f t="shared" si="4"/>
        <v>5433.5288547945211</v>
      </c>
      <c r="W27" s="32">
        <f t="shared" si="5"/>
        <v>5542.1994318904117</v>
      </c>
      <c r="X27" s="32">
        <f t="shared" si="6"/>
        <v>5650.8700089863023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217</v>
      </c>
      <c r="AM27" s="113">
        <f t="shared" si="9"/>
        <v>-4025350000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4478</v>
      </c>
      <c r="N28" s="113">
        <f t="shared" si="7"/>
        <v>965766.6</v>
      </c>
      <c r="O28" s="69">
        <v>5661</v>
      </c>
      <c r="P28" s="99">
        <f>P45</f>
        <v>170.6</v>
      </c>
      <c r="Q28" s="170">
        <v>1353959</v>
      </c>
      <c r="R28" s="169" t="s">
        <v>4464</v>
      </c>
      <c r="S28" s="169">
        <f>S27</f>
        <v>6</v>
      </c>
      <c r="T28" s="19" t="s">
        <v>4476</v>
      </c>
      <c r="U28" s="169">
        <v>192.2</v>
      </c>
      <c r="V28" s="169">
        <f t="shared" si="4"/>
        <v>195.23728657534247</v>
      </c>
      <c r="W28" s="32">
        <f t="shared" si="5"/>
        <v>199.14203230684933</v>
      </c>
      <c r="X28" s="32">
        <f t="shared" si="6"/>
        <v>203.04677803835617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216</v>
      </c>
      <c r="AM28" s="113">
        <f t="shared" si="9"/>
        <v>-14031576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94" t="s">
        <v>4459</v>
      </c>
      <c r="N29" s="113">
        <f t="shared" si="7"/>
        <v>1670974.2</v>
      </c>
      <c r="O29" s="36">
        <v>9146</v>
      </c>
      <c r="P29" s="99">
        <f>P51</f>
        <v>182.7</v>
      </c>
      <c r="Q29" s="170">
        <v>1799855</v>
      </c>
      <c r="R29" s="169" t="s">
        <v>4473</v>
      </c>
      <c r="S29" s="169">
        <f>S28-3</f>
        <v>3</v>
      </c>
      <c r="T29" s="19" t="s">
        <v>4474</v>
      </c>
      <c r="U29" s="169">
        <v>184.6</v>
      </c>
      <c r="V29" s="169">
        <f t="shared" si="4"/>
        <v>187.09235287671234</v>
      </c>
      <c r="W29" s="32">
        <f t="shared" si="5"/>
        <v>190.83419993424658</v>
      </c>
      <c r="X29" s="32">
        <f t="shared" si="6"/>
        <v>194.57604699178083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211</v>
      </c>
      <c r="AM29" s="113">
        <f t="shared" si="9"/>
        <v>1350400000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94" t="s">
        <v>4488</v>
      </c>
      <c r="N30" s="113">
        <f t="shared" si="7"/>
        <v>160115.4</v>
      </c>
      <c r="O30" s="36">
        <v>398</v>
      </c>
      <c r="P30" s="99">
        <f>P47</f>
        <v>402.3</v>
      </c>
      <c r="Q30" s="170">
        <v>146296</v>
      </c>
      <c r="R30" s="169" t="s">
        <v>4483</v>
      </c>
      <c r="S30" s="203">
        <f>S29-2</f>
        <v>1</v>
      </c>
      <c r="T30" s="169" t="s">
        <v>4484</v>
      </c>
      <c r="U30" s="169">
        <v>365</v>
      </c>
      <c r="V30" s="169">
        <f t="shared" si="4"/>
        <v>369.36799999999999</v>
      </c>
      <c r="W30" s="32">
        <f t="shared" si="5"/>
        <v>376.75536</v>
      </c>
      <c r="X30" s="32">
        <f t="shared" si="6"/>
        <v>384.14272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210</v>
      </c>
      <c r="AM30" s="113">
        <f t="shared" si="9"/>
        <v>-35700000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/>
      <c r="L31" s="117"/>
      <c r="M31" s="169"/>
      <c r="N31" s="113"/>
      <c r="O31" s="36"/>
      <c r="P31" s="99"/>
      <c r="Q31" s="170"/>
      <c r="R31" s="169"/>
      <c r="S31" s="169"/>
      <c r="T31" s="169"/>
      <c r="U31" s="169"/>
      <c r="V31" s="169"/>
      <c r="W31" s="32"/>
      <c r="X31" s="32"/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205</v>
      </c>
      <c r="AM31" s="113">
        <f t="shared" si="9"/>
        <v>-1291500000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25</v>
      </c>
      <c r="L32" s="117"/>
      <c r="M32" s="169"/>
      <c r="N32" s="113"/>
      <c r="P32" t="s">
        <v>25</v>
      </c>
      <c r="Q32" s="170">
        <f>SUM(N21:N25)-SUM(Q20:Q31)</f>
        <v>-3117842.1999999993</v>
      </c>
      <c r="R32" s="169"/>
      <c r="S32" s="169" t="s">
        <v>25</v>
      </c>
      <c r="T32" s="169"/>
      <c r="U32" s="169"/>
      <c r="V32" s="169"/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204</v>
      </c>
      <c r="AM32" s="113">
        <f t="shared" si="9"/>
        <v>-10611060</v>
      </c>
      <c r="AN32" s="99"/>
      <c r="AP32" s="96"/>
      <c r="AQ32" s="99">
        <v>2</v>
      </c>
      <c r="AR32" s="170" t="s">
        <v>4247</v>
      </c>
      <c r="AS32" s="99">
        <v>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25</v>
      </c>
      <c r="L33" s="117"/>
      <c r="M33" s="169" t="s">
        <v>756</v>
      </c>
      <c r="N33" s="113">
        <v>3000000</v>
      </c>
      <c r="O33" t="s">
        <v>25</v>
      </c>
      <c r="P33" t="s">
        <v>25</v>
      </c>
      <c r="R33" s="115"/>
      <c r="S33" s="115"/>
      <c r="T33" s="115"/>
      <c r="U33" s="115"/>
      <c r="V33" s="115"/>
      <c r="W33" s="200"/>
      <c r="X33" s="200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188</v>
      </c>
      <c r="AM33" s="113">
        <f t="shared" si="9"/>
        <v>3763271200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4265</v>
      </c>
      <c r="AU33" s="99" t="s">
        <v>4266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918</v>
      </c>
      <c r="L34" s="117">
        <v>4800000</v>
      </c>
      <c r="M34" s="169" t="s">
        <v>4152</v>
      </c>
      <c r="N34" s="113">
        <f>-S85</f>
        <v>-63114769.713720106</v>
      </c>
      <c r="O34" s="96" t="s">
        <v>25</v>
      </c>
      <c r="P34" s="96" t="s">
        <v>25</v>
      </c>
      <c r="Q34" s="96"/>
      <c r="R34" s="115"/>
      <c r="S34" s="115"/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188</v>
      </c>
      <c r="AM34" s="113">
        <f t="shared" si="9"/>
        <v>190719608</v>
      </c>
      <c r="AN34" s="99"/>
      <c r="AP34" s="96"/>
      <c r="AQ34" s="183"/>
      <c r="AR34" s="184" t="s">
        <v>4250</v>
      </c>
      <c r="AS34" s="183"/>
      <c r="AT34" s="183"/>
      <c r="AU34" s="183"/>
      <c r="AV34" s="184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/>
      <c r="L35" s="117"/>
      <c r="M35" s="169" t="s">
        <v>753</v>
      </c>
      <c r="N35" s="113">
        <v>500000</v>
      </c>
      <c r="O35" s="96"/>
      <c r="P35" s="96"/>
      <c r="Q35" s="169" t="s">
        <v>657</v>
      </c>
      <c r="R35" s="169"/>
      <c r="S35" s="169"/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176</v>
      </c>
      <c r="AM35" s="113">
        <f t="shared" si="9"/>
        <v>63360000</v>
      </c>
      <c r="AN35" s="99"/>
      <c r="AP35" s="96"/>
      <c r="AQ35" s="183"/>
      <c r="AR35" s="184" t="s">
        <v>4247</v>
      </c>
      <c r="AS35" s="183">
        <v>19666</v>
      </c>
      <c r="AT35" s="183" t="s">
        <v>4265</v>
      </c>
      <c r="AU35" s="183" t="s">
        <v>4267</v>
      </c>
      <c r="AV35" s="184"/>
      <c r="AW35" s="96"/>
      <c r="AX35" s="96"/>
      <c r="AY35" s="96"/>
      <c r="AZ35" s="96"/>
      <c r="BA35" s="96"/>
      <c r="BB35" s="96"/>
    </row>
    <row r="36" spans="1:54" ht="30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1086</v>
      </c>
      <c r="L36" s="117">
        <f>65*P15</f>
        <v>247000000</v>
      </c>
      <c r="M36" s="169" t="s">
        <v>760</v>
      </c>
      <c r="N36" s="113">
        <v>1200000</v>
      </c>
      <c r="O36" t="s">
        <v>25</v>
      </c>
      <c r="P36" t="s">
        <v>25</v>
      </c>
      <c r="Q36" s="169" t="s">
        <v>267</v>
      </c>
      <c r="R36" s="169" t="s">
        <v>180</v>
      </c>
      <c r="S36" s="169" t="s">
        <v>183</v>
      </c>
      <c r="T36" s="169" t="s">
        <v>8</v>
      </c>
      <c r="U36" s="169" t="s">
        <v>4383</v>
      </c>
      <c r="V36" s="73" t="s">
        <v>4385</v>
      </c>
      <c r="W36" s="32">
        <v>2</v>
      </c>
      <c r="X36" s="32">
        <v>4</v>
      </c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174</v>
      </c>
      <c r="AM36" s="113">
        <f t="shared" si="9"/>
        <v>-60900000</v>
      </c>
      <c r="AN36" s="99"/>
      <c r="AP36" s="96"/>
      <c r="AQ36" s="183"/>
      <c r="AR36" s="184"/>
      <c r="AS36" s="183"/>
      <c r="AT36" s="183"/>
      <c r="AU36" s="183"/>
      <c r="AV36" s="184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 t="s">
        <v>4498</v>
      </c>
      <c r="L37" s="117">
        <v>-50000000</v>
      </c>
      <c r="M37" s="73"/>
      <c r="N37" s="113"/>
      <c r="O37" s="96"/>
      <c r="P37" s="96"/>
      <c r="Q37" s="169">
        <v>0</v>
      </c>
      <c r="R37" s="169" t="s">
        <v>4175</v>
      </c>
      <c r="S37" s="169">
        <f>S50</f>
        <v>66</v>
      </c>
      <c r="T37" s="169"/>
      <c r="U37" s="169"/>
      <c r="V37" s="73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174</v>
      </c>
      <c r="AM37" s="113">
        <f t="shared" si="9"/>
        <v>174000</v>
      </c>
      <c r="AN37" s="99"/>
      <c r="AP37" s="96"/>
      <c r="AQ37" s="99"/>
      <c r="AR37" s="170"/>
      <c r="AS37" s="99"/>
      <c r="AT37" s="99"/>
      <c r="AU37" s="99"/>
      <c r="AV37" s="170"/>
      <c r="AW37" s="96"/>
      <c r="AX37" s="96"/>
      <c r="AY37" s="96"/>
      <c r="AZ37" s="96"/>
      <c r="BA37" s="96"/>
      <c r="BB37" s="96"/>
    </row>
    <row r="38" spans="1:54" ht="18.75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169" t="s">
        <v>4338</v>
      </c>
      <c r="L38" s="117">
        <v>-2985000</v>
      </c>
      <c r="M38" s="169" t="s">
        <v>1086</v>
      </c>
      <c r="N38" s="113">
        <f>65*P15</f>
        <v>247000000</v>
      </c>
      <c r="O38" s="96"/>
      <c r="P38" s="96"/>
      <c r="Q38" s="170">
        <v>1734776</v>
      </c>
      <c r="R38" s="169" t="s">
        <v>4457</v>
      </c>
      <c r="S38" s="169">
        <f>S37-59</f>
        <v>7</v>
      </c>
      <c r="T38" s="195" t="s">
        <v>4458</v>
      </c>
      <c r="U38" s="169">
        <v>188.8</v>
      </c>
      <c r="V38" s="169">
        <f>U38*(1+$N$81+$Q$15*S38/36500)</f>
        <v>191.92839013698634</v>
      </c>
      <c r="W38" s="32">
        <f>V38*(1+$W$19/100)</f>
        <v>195.76695793972607</v>
      </c>
      <c r="X38" s="32">
        <f>V38*(1+$X$19/100)</f>
        <v>199.6055257424658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173</v>
      </c>
      <c r="AM38" s="113">
        <f t="shared" si="9"/>
        <v>5814530000</v>
      </c>
      <c r="AN38" s="99"/>
      <c r="AP38" s="96"/>
      <c r="AQ38" s="99"/>
      <c r="AR38" s="170"/>
      <c r="AS38" s="99"/>
      <c r="AT38" s="180"/>
      <c r="AU38" s="99"/>
      <c r="AV38" s="170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169" t="s">
        <v>4352</v>
      </c>
      <c r="L39" s="117">
        <v>1000000</v>
      </c>
      <c r="M39" s="169" t="s">
        <v>4496</v>
      </c>
      <c r="N39" s="113">
        <v>-20000000</v>
      </c>
      <c r="O39" s="96"/>
      <c r="P39" s="96"/>
      <c r="Q39" s="170">
        <v>1049300</v>
      </c>
      <c r="R39" s="169" t="s">
        <v>4473</v>
      </c>
      <c r="S39" s="169">
        <f>S38-4</f>
        <v>3</v>
      </c>
      <c r="T39" s="195" t="s">
        <v>4477</v>
      </c>
      <c r="U39" s="169">
        <v>184.6</v>
      </c>
      <c r="V39" s="169">
        <f>U39*(1+$N$81+$Q$15*S39/36500)</f>
        <v>187.09235287671234</v>
      </c>
      <c r="W39" s="32">
        <f>V39*(1+$W$19/100)</f>
        <v>190.83419993424658</v>
      </c>
      <c r="X39" s="32">
        <f>V39*(1+$X$19/100)</f>
        <v>194.57604699178083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169</v>
      </c>
      <c r="AM39" s="113">
        <f t="shared" si="9"/>
        <v>-2636400000</v>
      </c>
      <c r="AN39" s="99"/>
      <c r="AP39" s="96"/>
      <c r="AQ39" s="99"/>
      <c r="AR39" s="99"/>
      <c r="AS39" s="99"/>
      <c r="AT39" s="99"/>
      <c r="AU39" s="99"/>
      <c r="AV39" s="170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169" t="s">
        <v>4394</v>
      </c>
      <c r="L40" s="117">
        <v>-26000</v>
      </c>
      <c r="M40" s="169" t="s">
        <v>4497</v>
      </c>
      <c r="N40" s="113">
        <v>-50000000</v>
      </c>
      <c r="O40" s="96"/>
      <c r="P40" s="96"/>
      <c r="Q40" s="170">
        <v>145929</v>
      </c>
      <c r="R40" s="169" t="s">
        <v>4483</v>
      </c>
      <c r="S40" s="203">
        <f>S39-2</f>
        <v>1</v>
      </c>
      <c r="T40" s="194" t="s">
        <v>4487</v>
      </c>
      <c r="U40" s="169">
        <v>365</v>
      </c>
      <c r="V40" s="169">
        <f>U40*(1+$N$81+$Q$15*S40/36500)</f>
        <v>369.36799999999999</v>
      </c>
      <c r="W40" s="32">
        <f>V40*(1+$W$19/100)</f>
        <v>376.75536</v>
      </c>
      <c r="X40" s="32">
        <f>V40*(1+$X$19/100)</f>
        <v>384.14272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166</v>
      </c>
      <c r="AM40" s="113">
        <f t="shared" si="9"/>
        <v>1245000000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99" t="s">
        <v>4439</v>
      </c>
      <c r="L41" s="117">
        <v>3000000</v>
      </c>
      <c r="M41" s="169" t="s">
        <v>4352</v>
      </c>
      <c r="N41" s="113">
        <v>1000000</v>
      </c>
      <c r="O41" s="96"/>
      <c r="P41" s="96"/>
      <c r="Q41" s="170"/>
      <c r="R41" s="169"/>
      <c r="S41" s="26"/>
      <c r="T41" s="26"/>
      <c r="U41" s="169"/>
      <c r="V41" s="169"/>
      <c r="W41" s="32"/>
      <c r="X41" s="32"/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162</v>
      </c>
      <c r="AM41" s="113">
        <f t="shared" si="9"/>
        <v>-15876000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99" t="s">
        <v>4462</v>
      </c>
      <c r="L42" s="117">
        <v>-600000</v>
      </c>
      <c r="M42" s="169" t="s">
        <v>4515</v>
      </c>
      <c r="N42" s="113">
        <v>0.2</v>
      </c>
      <c r="Q42" s="113">
        <f>SUM(N28:N30)-SUM(Q37:Q40)</f>
        <v>-133148.80000000028</v>
      </c>
      <c r="R42" s="169"/>
      <c r="S42" s="169"/>
      <c r="T42" s="169"/>
      <c r="U42" s="169"/>
      <c r="V42" s="169"/>
      <c r="W42" s="32"/>
      <c r="X42" s="32"/>
      <c r="Y42" s="115"/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161</v>
      </c>
      <c r="AM42" s="113">
        <f t="shared" si="9"/>
        <v>-4186000000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4480</v>
      </c>
      <c r="L43" s="117">
        <v>-3000000</v>
      </c>
      <c r="M43" s="169"/>
      <c r="N43" s="113"/>
      <c r="O43" s="99"/>
      <c r="P43" s="99"/>
      <c r="R43" s="115"/>
      <c r="S43" s="115"/>
      <c r="T43" s="115" t="s">
        <v>25</v>
      </c>
      <c r="U43" s="115"/>
      <c r="V43" s="115"/>
      <c r="W43" s="200"/>
      <c r="X43" s="200"/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161</v>
      </c>
      <c r="AM43" s="113">
        <f t="shared" si="9"/>
        <v>4025000000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56" t="s">
        <v>4499</v>
      </c>
      <c r="L44" s="117">
        <v>145929</v>
      </c>
      <c r="M44" s="32" t="s">
        <v>4414</v>
      </c>
      <c r="N44" s="113">
        <f t="shared" ref="N44:N51" si="13">O44*P44</f>
        <v>2033957.9000000001</v>
      </c>
      <c r="O44" s="99">
        <v>611</v>
      </c>
      <c r="P44" s="99">
        <v>3328.9</v>
      </c>
      <c r="Q44" t="s">
        <v>25</v>
      </c>
      <c r="S44" s="26" t="s">
        <v>25</v>
      </c>
      <c r="T44" t="s">
        <v>25</v>
      </c>
      <c r="U44" s="96" t="s">
        <v>25</v>
      </c>
      <c r="V44" s="115" t="s">
        <v>25</v>
      </c>
      <c r="W44" s="200"/>
      <c r="X44" s="200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160</v>
      </c>
      <c r="AM44" s="113">
        <f t="shared" si="9"/>
        <v>17600000</v>
      </c>
      <c r="AN44" s="99"/>
      <c r="AQ44" s="96"/>
      <c r="AR44" s="96"/>
      <c r="AS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56" t="s">
        <v>4482</v>
      </c>
      <c r="L45" s="117">
        <v>-1100000</v>
      </c>
      <c r="M45" s="169" t="s">
        <v>4182</v>
      </c>
      <c r="N45" s="113">
        <f t="shared" si="13"/>
        <v>184702819.59999999</v>
      </c>
      <c r="O45" s="99">
        <v>1082666</v>
      </c>
      <c r="P45" s="99">
        <v>170.6</v>
      </c>
      <c r="T45" t="s">
        <v>25</v>
      </c>
      <c r="W45" s="200"/>
      <c r="X45" s="200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159</v>
      </c>
      <c r="AM45" s="113">
        <f t="shared" si="9"/>
        <v>60420000</v>
      </c>
      <c r="AN45" s="99"/>
      <c r="AQ45" s="96"/>
      <c r="AR45" s="96"/>
      <c r="AS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56"/>
      <c r="L46" s="117"/>
      <c r="M46" s="169" t="s">
        <v>4264</v>
      </c>
      <c r="N46" s="113">
        <f t="shared" si="13"/>
        <v>3355019.6</v>
      </c>
      <c r="O46" s="99">
        <v>19666</v>
      </c>
      <c r="P46" s="99">
        <f>P45</f>
        <v>170.6</v>
      </c>
      <c r="T46" t="s">
        <v>25</v>
      </c>
      <c r="U46" s="96" t="s">
        <v>25</v>
      </c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152</v>
      </c>
      <c r="AM46" s="113">
        <f t="shared" si="9"/>
        <v>68400000</v>
      </c>
      <c r="AN46" s="99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56"/>
      <c r="L47" s="117"/>
      <c r="M47" s="169" t="s">
        <v>4486</v>
      </c>
      <c r="N47" s="113">
        <f t="shared" si="13"/>
        <v>160115.4</v>
      </c>
      <c r="O47" s="99">
        <v>398</v>
      </c>
      <c r="P47" s="99">
        <v>402.3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146</v>
      </c>
      <c r="AM47" s="113">
        <f t="shared" si="9"/>
        <v>408800000</v>
      </c>
      <c r="AN47" s="99"/>
    </row>
    <row r="48" spans="1:54" ht="30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99"/>
      <c r="M48" s="169" t="s">
        <v>4309</v>
      </c>
      <c r="N48" s="113">
        <f t="shared" si="13"/>
        <v>8170204.7999999989</v>
      </c>
      <c r="O48" s="69">
        <v>29347</v>
      </c>
      <c r="P48" s="69">
        <v>278.39999999999998</v>
      </c>
      <c r="Q48" s="73" t="s">
        <v>4308</v>
      </c>
      <c r="R48" s="112"/>
      <c r="S48" s="112"/>
      <c r="T48" s="112"/>
      <c r="U48" s="169" t="s">
        <v>4383</v>
      </c>
      <c r="V48" s="36" t="s">
        <v>4385</v>
      </c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145</v>
      </c>
      <c r="AM48" s="113">
        <f t="shared" si="9"/>
        <v>-217500000</v>
      </c>
      <c r="AN48" s="99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99"/>
      <c r="M49" s="169" t="s">
        <v>4418</v>
      </c>
      <c r="N49" s="113">
        <f t="shared" si="13"/>
        <v>3674850.4</v>
      </c>
      <c r="O49" s="69">
        <v>767</v>
      </c>
      <c r="P49" s="69">
        <v>4791.2</v>
      </c>
      <c r="Q49" s="112" t="s">
        <v>267</v>
      </c>
      <c r="R49" s="112" t="s">
        <v>180</v>
      </c>
      <c r="S49" s="112" t="s">
        <v>183</v>
      </c>
      <c r="T49" s="112" t="s">
        <v>8</v>
      </c>
      <c r="U49" s="169"/>
      <c r="V49" s="99"/>
      <c r="W49" s="32">
        <f t="shared" ref="W49:W71" si="14">V49*(1+$W$19/100)</f>
        <v>0</v>
      </c>
      <c r="X49" s="32">
        <f t="shared" ref="X49:X71" si="15">V49*(1+$X$19/100)</f>
        <v>0</v>
      </c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145</v>
      </c>
      <c r="AM49" s="113">
        <f t="shared" si="9"/>
        <v>442250000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99"/>
      <c r="M50" s="169" t="s">
        <v>4434</v>
      </c>
      <c r="N50" s="117">
        <f t="shared" si="13"/>
        <v>4327821.8999999994</v>
      </c>
      <c r="O50" s="69">
        <v>10431</v>
      </c>
      <c r="P50" s="69">
        <v>414.9</v>
      </c>
      <c r="Q50" s="170">
        <v>184971545</v>
      </c>
      <c r="R50" s="169" t="s">
        <v>4175</v>
      </c>
      <c r="S50" s="196">
        <v>66</v>
      </c>
      <c r="T50" s="169" t="s">
        <v>4366</v>
      </c>
      <c r="U50" s="169">
        <v>192</v>
      </c>
      <c r="V50" s="99">
        <f t="shared" ref="V50:V71" si="16">U50*(1+$N$81+$Q$15*S50/36500)</f>
        <v>203.87138630136988</v>
      </c>
      <c r="W50" s="32">
        <f t="shared" si="14"/>
        <v>207.94881402739728</v>
      </c>
      <c r="X50" s="32">
        <f t="shared" si="15"/>
        <v>212.02624175342467</v>
      </c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142</v>
      </c>
      <c r="AM50" s="113">
        <f t="shared" si="9"/>
        <v>-1178544904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99"/>
      <c r="M51" s="73" t="s">
        <v>4449</v>
      </c>
      <c r="N51" s="117">
        <f t="shared" si="13"/>
        <v>2389167.9</v>
      </c>
      <c r="O51" s="69">
        <v>13077</v>
      </c>
      <c r="P51" s="69">
        <v>182.7</v>
      </c>
      <c r="Q51" s="170">
        <v>3759803</v>
      </c>
      <c r="R51" s="169" t="s">
        <v>4265</v>
      </c>
      <c r="S51" s="196">
        <f>S50-21</f>
        <v>45</v>
      </c>
      <c r="T51" s="169" t="s">
        <v>4274</v>
      </c>
      <c r="U51" s="169">
        <v>190.3</v>
      </c>
      <c r="V51" s="99">
        <f t="shared" si="16"/>
        <v>199.00062027397266</v>
      </c>
      <c r="W51" s="32">
        <f t="shared" si="14"/>
        <v>202.98063267945213</v>
      </c>
      <c r="X51" s="32">
        <f t="shared" si="15"/>
        <v>206.96064508493157</v>
      </c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140</v>
      </c>
      <c r="AM51" s="113">
        <f t="shared" si="9"/>
        <v>700000000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99"/>
      <c r="M52" s="73"/>
      <c r="N52" s="117"/>
      <c r="O52" s="122"/>
      <c r="P52" s="122"/>
      <c r="Q52" s="170">
        <v>9560464</v>
      </c>
      <c r="R52" s="169" t="s">
        <v>4312</v>
      </c>
      <c r="S52" s="196">
        <f>S51-11</f>
        <v>34</v>
      </c>
      <c r="T52" s="169" t="s">
        <v>4329</v>
      </c>
      <c r="U52" s="169">
        <v>214.57</v>
      </c>
      <c r="V52" s="99">
        <f t="shared" si="16"/>
        <v>222.56963989041094</v>
      </c>
      <c r="W52" s="32">
        <f t="shared" si="14"/>
        <v>227.02103268821915</v>
      </c>
      <c r="X52" s="32">
        <f t="shared" si="15"/>
        <v>231.47242548602739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126</v>
      </c>
      <c r="AM52" s="113">
        <f t="shared" si="9"/>
        <v>-11340000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99"/>
      <c r="M53" s="169" t="s">
        <v>1154</v>
      </c>
      <c r="N53" s="117">
        <v>14908</v>
      </c>
      <c r="O53" s="96" t="s">
        <v>25</v>
      </c>
      <c r="P53" t="s">
        <v>25</v>
      </c>
      <c r="Q53" s="170">
        <v>2000000</v>
      </c>
      <c r="R53" s="169" t="s">
        <v>4361</v>
      </c>
      <c r="S53" s="169">
        <f>S52-11</f>
        <v>23</v>
      </c>
      <c r="T53" s="169" t="s">
        <v>4365</v>
      </c>
      <c r="U53" s="169">
        <v>206.8</v>
      </c>
      <c r="V53" s="99">
        <f t="shared" si="16"/>
        <v>212.76490520547949</v>
      </c>
      <c r="W53" s="32">
        <f t="shared" si="14"/>
        <v>217.02020330958908</v>
      </c>
      <c r="X53" s="32">
        <f t="shared" si="15"/>
        <v>221.27550141369869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125</v>
      </c>
      <c r="AM53" s="113">
        <f t="shared" si="9"/>
        <v>700000000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99"/>
      <c r="M54" s="169" t="s">
        <v>1155</v>
      </c>
      <c r="N54" s="117">
        <v>5282</v>
      </c>
      <c r="O54" s="96"/>
      <c r="Q54" s="170">
        <v>1457531</v>
      </c>
      <c r="R54" s="169" t="s">
        <v>4397</v>
      </c>
      <c r="S54" s="196">
        <f>S53-6</f>
        <v>17</v>
      </c>
      <c r="T54" s="169" t="s">
        <v>4398</v>
      </c>
      <c r="U54" s="169">
        <v>310</v>
      </c>
      <c r="V54" s="99">
        <f t="shared" si="16"/>
        <v>317.51473972602747</v>
      </c>
      <c r="W54" s="32">
        <f t="shared" si="14"/>
        <v>323.86503452054802</v>
      </c>
      <c r="X54" s="32">
        <f t="shared" si="15"/>
        <v>330.21532931506857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121</v>
      </c>
      <c r="AM54" s="113">
        <f t="shared" si="9"/>
        <v>90750000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O55" s="115"/>
      <c r="P55" s="115"/>
      <c r="Q55" s="170">
        <v>1429825</v>
      </c>
      <c r="R55" s="169" t="s">
        <v>4392</v>
      </c>
      <c r="S55" s="169">
        <f>S54-1</f>
        <v>16</v>
      </c>
      <c r="T55" s="169" t="s">
        <v>4403</v>
      </c>
      <c r="U55" s="169">
        <v>203.9</v>
      </c>
      <c r="V55" s="99">
        <f t="shared" si="16"/>
        <v>208.68634301369863</v>
      </c>
      <c r="W55" s="32">
        <f t="shared" si="14"/>
        <v>212.86006987397261</v>
      </c>
      <c r="X55" s="32">
        <f t="shared" si="15"/>
        <v>217.03379673424658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119</v>
      </c>
      <c r="AM55" s="171">
        <f t="shared" si="9"/>
        <v>-504798000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 t="s">
        <v>25</v>
      </c>
      <c r="L56" s="117"/>
      <c r="M56" s="169" t="s">
        <v>4183</v>
      </c>
      <c r="N56" s="113">
        <f>-O56*P56</f>
        <v>-14121073.799999999</v>
      </c>
      <c r="O56" s="99">
        <v>82773</v>
      </c>
      <c r="P56" s="99">
        <f>P45</f>
        <v>170.6</v>
      </c>
      <c r="Q56" s="170">
        <v>1420747</v>
      </c>
      <c r="R56" s="169" t="s">
        <v>4392</v>
      </c>
      <c r="S56" s="169">
        <f>S55</f>
        <v>16</v>
      </c>
      <c r="T56" s="169" t="s">
        <v>4405</v>
      </c>
      <c r="U56" s="169">
        <v>203.1</v>
      </c>
      <c r="V56" s="99">
        <f t="shared" si="16"/>
        <v>207.86756383561644</v>
      </c>
      <c r="W56" s="32">
        <f t="shared" si="14"/>
        <v>212.02491511232876</v>
      </c>
      <c r="X56" s="32">
        <f t="shared" si="15"/>
        <v>216.1822663890411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117</v>
      </c>
      <c r="AM56" s="113">
        <f t="shared" si="9"/>
        <v>479700000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2864946</v>
      </c>
      <c r="R57" s="169" t="s">
        <v>4392</v>
      </c>
      <c r="S57" s="198">
        <f>S56</f>
        <v>16</v>
      </c>
      <c r="T57" s="169" t="s">
        <v>4407</v>
      </c>
      <c r="U57" s="169">
        <v>303.60000000000002</v>
      </c>
      <c r="V57" s="99">
        <f t="shared" si="16"/>
        <v>310.72669808219183</v>
      </c>
      <c r="W57" s="32">
        <f t="shared" si="14"/>
        <v>316.94123204383567</v>
      </c>
      <c r="X57" s="32">
        <f t="shared" si="15"/>
        <v>323.15576600547951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117</v>
      </c>
      <c r="AM57" s="113">
        <f t="shared" si="9"/>
        <v>479700000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 t="s">
        <v>4479</v>
      </c>
      <c r="N58" s="113">
        <f>-S86</f>
        <v>-828454.10515220009</v>
      </c>
      <c r="Q58" s="170">
        <v>2412371</v>
      </c>
      <c r="R58" s="169" t="s">
        <v>4395</v>
      </c>
      <c r="S58" s="169">
        <f>S57-1</f>
        <v>15</v>
      </c>
      <c r="T58" s="169" t="s">
        <v>4413</v>
      </c>
      <c r="U58" s="169">
        <v>3930</v>
      </c>
      <c r="V58" s="99">
        <f t="shared" si="16"/>
        <v>4019.2379178082197</v>
      </c>
      <c r="W58" s="32">
        <f t="shared" si="14"/>
        <v>4099.6226761643838</v>
      </c>
      <c r="X58" s="32">
        <f t="shared" si="15"/>
        <v>4180.0074345205485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116</v>
      </c>
      <c r="AM58" s="113">
        <f t="shared" si="9"/>
        <v>91640000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 t="s">
        <v>4501</v>
      </c>
      <c r="N59" s="113">
        <f>-S87</f>
        <v>-2999979.0749467001</v>
      </c>
      <c r="Q59" s="170">
        <v>2010885</v>
      </c>
      <c r="R59" s="169" t="s">
        <v>4416</v>
      </c>
      <c r="S59" s="169">
        <f>S58-2</f>
        <v>13</v>
      </c>
      <c r="T59" s="169" t="s">
        <v>4422</v>
      </c>
      <c r="U59" s="169">
        <v>202.1</v>
      </c>
      <c r="V59" s="99">
        <f t="shared" si="16"/>
        <v>206.37898301369864</v>
      </c>
      <c r="W59" s="32">
        <f t="shared" si="14"/>
        <v>210.50656267397261</v>
      </c>
      <c r="X59" s="32">
        <f t="shared" si="15"/>
        <v>214.6341423342466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101</v>
      </c>
      <c r="AM59" s="173">
        <f t="shared" si="9"/>
        <v>-390365000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1994038</v>
      </c>
      <c r="R60" s="169" t="s">
        <v>4427</v>
      </c>
      <c r="S60" s="169">
        <f>S59-3</f>
        <v>10</v>
      </c>
      <c r="T60" s="169" t="s">
        <v>4446</v>
      </c>
      <c r="U60" s="169">
        <v>5560.3</v>
      </c>
      <c r="V60" s="99">
        <f t="shared" si="16"/>
        <v>5665.2297161643846</v>
      </c>
      <c r="W60" s="32">
        <f t="shared" si="14"/>
        <v>5778.534310487672</v>
      </c>
      <c r="X60" s="32">
        <f t="shared" si="15"/>
        <v>5891.8389048109602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95</v>
      </c>
      <c r="AM60" s="113">
        <f t="shared" si="9"/>
        <v>1786000000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Q61" s="170">
        <v>4629290</v>
      </c>
      <c r="R61" s="169" t="s">
        <v>4427</v>
      </c>
      <c r="S61" s="198">
        <f>S60</f>
        <v>10</v>
      </c>
      <c r="T61" s="169" t="s">
        <v>4435</v>
      </c>
      <c r="U61" s="169">
        <v>441.8</v>
      </c>
      <c r="V61" s="99">
        <f t="shared" si="16"/>
        <v>450.13731068493155</v>
      </c>
      <c r="W61" s="32">
        <f t="shared" si="14"/>
        <v>459.14005689863018</v>
      </c>
      <c r="X61" s="32">
        <f t="shared" si="15"/>
        <v>468.14280311232881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92</v>
      </c>
      <c r="AM61" s="113">
        <f t="shared" si="9"/>
        <v>46000000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598</v>
      </c>
      <c r="L62" s="113">
        <f>SUM(L16:L48)</f>
        <v>262412900.71372008</v>
      </c>
      <c r="M62" s="169"/>
      <c r="N62" s="113">
        <f>SUM(N16:N58)</f>
        <v>336866985.08112758</v>
      </c>
      <c r="Q62" s="170">
        <v>4489908</v>
      </c>
      <c r="R62" s="169" t="s">
        <v>4427</v>
      </c>
      <c r="S62" s="169">
        <f>S61</f>
        <v>10</v>
      </c>
      <c r="T62" s="169" t="s">
        <v>4433</v>
      </c>
      <c r="U62" s="169">
        <v>292.60000000000002</v>
      </c>
      <c r="V62" s="99">
        <f t="shared" si="16"/>
        <v>298.12172273972607</v>
      </c>
      <c r="W62" s="32">
        <f t="shared" si="14"/>
        <v>304.08415719452057</v>
      </c>
      <c r="X62" s="32">
        <f t="shared" si="15"/>
        <v>310.04659164931513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91</v>
      </c>
      <c r="AM62" s="113">
        <f t="shared" si="9"/>
        <v>18200000</v>
      </c>
      <c r="AN62" s="20"/>
    </row>
    <row r="63" spans="1:40">
      <c r="E63" s="26"/>
      <c r="K63" s="169" t="s">
        <v>599</v>
      </c>
      <c r="L63" s="113">
        <f>L16+L17+L23</f>
        <v>63202</v>
      </c>
      <c r="M63" s="169"/>
      <c r="N63" s="113">
        <f>N16+N17+N35</f>
        <v>-3347714</v>
      </c>
      <c r="Q63" s="170">
        <v>1971103</v>
      </c>
      <c r="R63" s="169" t="s">
        <v>4441</v>
      </c>
      <c r="S63" s="169">
        <f>S62-1</f>
        <v>9</v>
      </c>
      <c r="T63" s="169" t="s">
        <v>4442</v>
      </c>
      <c r="U63" s="169">
        <v>196.2</v>
      </c>
      <c r="V63" s="99">
        <f t="shared" si="16"/>
        <v>199.75202630136988</v>
      </c>
      <c r="W63" s="32">
        <f t="shared" si="14"/>
        <v>203.74706682739728</v>
      </c>
      <c r="X63" s="32">
        <f t="shared" si="15"/>
        <v>207.74210735342467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88</v>
      </c>
      <c r="AM63" s="113">
        <f t="shared" si="9"/>
        <v>88000000</v>
      </c>
      <c r="AN63" s="20"/>
    </row>
    <row r="64" spans="1:40">
      <c r="E64" s="26"/>
      <c r="K64" s="56" t="s">
        <v>716</v>
      </c>
      <c r="L64" s="1">
        <f>L62+N7</f>
        <v>332412900.71372008</v>
      </c>
      <c r="M64" s="113"/>
      <c r="N64" s="169"/>
      <c r="O64" s="115"/>
      <c r="P64" s="115"/>
      <c r="Q64" s="170">
        <v>1000913</v>
      </c>
      <c r="R64" s="169" t="s">
        <v>4443</v>
      </c>
      <c r="S64" s="169">
        <f>S63-1</f>
        <v>8</v>
      </c>
      <c r="T64" s="169" t="s">
        <v>4448</v>
      </c>
      <c r="U64" s="169">
        <v>191.3</v>
      </c>
      <c r="V64" s="99">
        <f t="shared" si="16"/>
        <v>194.61656547945208</v>
      </c>
      <c r="W64" s="32">
        <f t="shared" si="14"/>
        <v>198.50889678904113</v>
      </c>
      <c r="X64" s="32">
        <f t="shared" si="15"/>
        <v>202.40122809863016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85</v>
      </c>
      <c r="AM64" s="113">
        <f t="shared" si="9"/>
        <v>110500000</v>
      </c>
      <c r="AN64" s="20"/>
    </row>
    <row r="65" spans="1:47">
      <c r="O65" s="96"/>
      <c r="P65" s="96"/>
      <c r="Q65" s="170">
        <v>157443</v>
      </c>
      <c r="R65" s="169" t="s">
        <v>4443</v>
      </c>
      <c r="S65" s="169">
        <f>S64</f>
        <v>8</v>
      </c>
      <c r="T65" s="169" t="s">
        <v>4460</v>
      </c>
      <c r="U65" s="169">
        <v>189.5</v>
      </c>
      <c r="V65" s="99">
        <f t="shared" si="16"/>
        <v>192.78535890410961</v>
      </c>
      <c r="W65" s="32">
        <f t="shared" si="14"/>
        <v>196.6410660821918</v>
      </c>
      <c r="X65" s="32">
        <f t="shared" si="15"/>
        <v>200.49677326027401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6" si="17">AL66+AK65</f>
        <v>85</v>
      </c>
      <c r="AM65" s="113">
        <f t="shared" si="9"/>
        <v>84575000</v>
      </c>
      <c r="AN65" s="20"/>
    </row>
    <row r="66" spans="1:47">
      <c r="M66" s="25"/>
      <c r="O66" t="s">
        <v>25</v>
      </c>
      <c r="Q66" s="170">
        <v>1330173</v>
      </c>
      <c r="R66" s="169" t="s">
        <v>4464</v>
      </c>
      <c r="S66" s="169">
        <f>S65-2</f>
        <v>6</v>
      </c>
      <c r="T66" s="169" t="s">
        <v>4465</v>
      </c>
      <c r="U66" s="169">
        <v>188.1</v>
      </c>
      <c r="V66" s="99">
        <f t="shared" si="16"/>
        <v>191.07249534246574</v>
      </c>
      <c r="W66" s="32">
        <f t="shared" si="14"/>
        <v>194.89394524931507</v>
      </c>
      <c r="X66" s="32">
        <f t="shared" si="15"/>
        <v>198.71539515616439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17"/>
        <v>83</v>
      </c>
      <c r="AM66" s="113">
        <f t="shared" si="9"/>
        <v>1079000000</v>
      </c>
      <c r="AN66" s="20"/>
    </row>
    <row r="67" spans="1:47">
      <c r="A67" t="s">
        <v>25</v>
      </c>
      <c r="F67" t="s">
        <v>310</v>
      </c>
      <c r="G67" t="s">
        <v>4102</v>
      </c>
      <c r="M67" s="25" t="s">
        <v>4083</v>
      </c>
      <c r="P67" t="s">
        <v>25</v>
      </c>
      <c r="Q67" s="170">
        <v>1049856</v>
      </c>
      <c r="R67" s="169" t="s">
        <v>4473</v>
      </c>
      <c r="S67" s="169">
        <f>S66-3</f>
        <v>3</v>
      </c>
      <c r="T67" s="169" t="s">
        <v>4475</v>
      </c>
      <c r="U67" s="169">
        <v>184.5</v>
      </c>
      <c r="V67" s="99">
        <f t="shared" si="16"/>
        <v>186.99100273972604</v>
      </c>
      <c r="W67" s="32">
        <f t="shared" si="14"/>
        <v>190.73082279452058</v>
      </c>
      <c r="X67" s="32">
        <f t="shared" si="15"/>
        <v>194.47064284931508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17"/>
        <v>81</v>
      </c>
      <c r="AM67" s="113">
        <f t="shared" si="9"/>
        <v>-251100000</v>
      </c>
      <c r="AN67" s="20"/>
    </row>
    <row r="68" spans="1:47">
      <c r="F68" t="s">
        <v>4106</v>
      </c>
      <c r="G68" t="s">
        <v>4101</v>
      </c>
      <c r="M68" s="178"/>
      <c r="O68" s="22"/>
      <c r="Q68" s="170">
        <v>1783234</v>
      </c>
      <c r="R68" s="169" t="s">
        <v>4483</v>
      </c>
      <c r="S68" s="169">
        <f>S67-2</f>
        <v>1</v>
      </c>
      <c r="T68" s="169" t="s">
        <v>4489</v>
      </c>
      <c r="U68" s="169">
        <v>177.5</v>
      </c>
      <c r="V68" s="99">
        <f t="shared" si="16"/>
        <v>179.62416438356163</v>
      </c>
      <c r="W68" s="32">
        <f t="shared" si="14"/>
        <v>183.21664767123286</v>
      </c>
      <c r="X68" s="32">
        <f t="shared" si="15"/>
        <v>186.80913095890412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17"/>
        <v>78</v>
      </c>
      <c r="AM68" s="113">
        <f t="shared" si="9"/>
        <v>3559920000</v>
      </c>
      <c r="AN68" s="20"/>
    </row>
    <row r="69" spans="1:47">
      <c r="F69" t="s">
        <v>4107</v>
      </c>
      <c r="G69" t="s">
        <v>4103</v>
      </c>
      <c r="M69" s="122"/>
      <c r="O69" t="s">
        <v>25</v>
      </c>
      <c r="P69" t="s">
        <v>25</v>
      </c>
      <c r="Q69" s="170">
        <v>3076452</v>
      </c>
      <c r="R69" s="169" t="s">
        <v>4483</v>
      </c>
      <c r="S69" s="169">
        <f>S68</f>
        <v>1</v>
      </c>
      <c r="T69" s="169" t="s">
        <v>4490</v>
      </c>
      <c r="U69" s="169">
        <v>173.4</v>
      </c>
      <c r="V69" s="99">
        <f t="shared" si="16"/>
        <v>175.47509917808219</v>
      </c>
      <c r="W69" s="32">
        <f t="shared" si="14"/>
        <v>178.98460116164384</v>
      </c>
      <c r="X69" s="32">
        <f t="shared" si="15"/>
        <v>182.49410314520549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17"/>
        <v>77</v>
      </c>
      <c r="AM69" s="113">
        <f t="shared" si="9"/>
        <v>2579500000</v>
      </c>
      <c r="AN69" s="20"/>
    </row>
    <row r="70" spans="1:47">
      <c r="G70" t="s">
        <v>4104</v>
      </c>
      <c r="M70" s="122" t="s">
        <v>4436</v>
      </c>
      <c r="O70" s="114"/>
      <c r="Q70" s="170">
        <v>1904396</v>
      </c>
      <c r="R70" s="169" t="s">
        <v>4483</v>
      </c>
      <c r="S70" s="203">
        <f>S69</f>
        <v>1</v>
      </c>
      <c r="T70" s="169" t="s">
        <v>4495</v>
      </c>
      <c r="U70" s="169">
        <v>4861</v>
      </c>
      <c r="V70" s="99">
        <f t="shared" si="16"/>
        <v>4919.1721863013699</v>
      </c>
      <c r="W70" s="32">
        <f t="shared" si="14"/>
        <v>5017.5556300273975</v>
      </c>
      <c r="X70" s="32">
        <f t="shared" si="15"/>
        <v>5115.939073753425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17"/>
        <v>76</v>
      </c>
      <c r="AM70" s="117">
        <f t="shared" si="9"/>
        <v>912000000</v>
      </c>
      <c r="AN70" s="20"/>
    </row>
    <row r="71" spans="1:47">
      <c r="G71" t="s">
        <v>4105</v>
      </c>
      <c r="M71" s="122" t="s">
        <v>4500</v>
      </c>
      <c r="N71" s="96"/>
      <c r="Q71" s="170">
        <v>145929</v>
      </c>
      <c r="R71" s="169" t="s">
        <v>4483</v>
      </c>
      <c r="S71" s="203">
        <f>S70</f>
        <v>1</v>
      </c>
      <c r="T71" s="169" t="s">
        <v>4487</v>
      </c>
      <c r="U71" s="169">
        <v>365</v>
      </c>
      <c r="V71" s="99">
        <f t="shared" si="16"/>
        <v>369.36799999999999</v>
      </c>
      <c r="W71" s="32">
        <f t="shared" si="14"/>
        <v>376.75536</v>
      </c>
      <c r="X71" s="32">
        <f t="shared" si="15"/>
        <v>384.14272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17"/>
        <v>75</v>
      </c>
      <c r="AM71" s="117">
        <f t="shared" si="9"/>
        <v>1162500000</v>
      </c>
      <c r="AN71" s="20"/>
    </row>
    <row r="72" spans="1:47">
      <c r="G72" t="s">
        <v>4109</v>
      </c>
      <c r="M72" s="96"/>
      <c r="N72" s="96"/>
      <c r="P72" t="s">
        <v>25</v>
      </c>
      <c r="Q72" s="170"/>
      <c r="R72" s="169"/>
      <c r="S72" s="169"/>
      <c r="T72" s="169"/>
      <c r="U72" s="169"/>
      <c r="V72" s="99"/>
      <c r="W72" s="32"/>
      <c r="X72" s="32"/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17"/>
        <v>71</v>
      </c>
      <c r="AM72" s="117">
        <f t="shared" si="9"/>
        <v>10650000</v>
      </c>
      <c r="AN72" s="20"/>
    </row>
    <row r="73" spans="1:47">
      <c r="G73" t="s">
        <v>4108</v>
      </c>
      <c r="M73" s="96"/>
      <c r="N73" s="96"/>
      <c r="P73" s="115"/>
      <c r="Q73" s="170"/>
      <c r="R73" s="169"/>
      <c r="S73" s="169"/>
      <c r="T73" s="169"/>
      <c r="U73" s="169"/>
      <c r="V73" s="99"/>
      <c r="W73" s="32"/>
      <c r="X73" s="32"/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17"/>
        <v>70</v>
      </c>
      <c r="AM73" s="182">
        <f t="shared" si="9"/>
        <v>2030000000</v>
      </c>
      <c r="AN73" s="181" t="s">
        <v>4189</v>
      </c>
    </row>
    <row r="74" spans="1:47">
      <c r="M74" s="96"/>
      <c r="N74" s="96"/>
      <c r="P74" s="115" t="s">
        <v>25</v>
      </c>
      <c r="Q74" s="113">
        <f>SUM(N44:N51)-SUM(Q50:Q73)</f>
        <v>-26606894.49999997</v>
      </c>
      <c r="R74" s="112"/>
      <c r="S74" s="112"/>
      <c r="T74" s="112"/>
      <c r="U74" s="169"/>
      <c r="V74" s="99" t="s">
        <v>25</v>
      </c>
      <c r="W74" s="32"/>
      <c r="X74" s="32"/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17"/>
        <v>55</v>
      </c>
      <c r="AM74" s="117">
        <f t="shared" si="9"/>
        <v>-7150000</v>
      </c>
      <c r="AN74" s="20" t="s">
        <v>4215</v>
      </c>
    </row>
    <row r="75" spans="1:47">
      <c r="M75" s="96">
        <f>O45+O46+O21+O28-O56</f>
        <v>1089965</v>
      </c>
      <c r="N75" s="113">
        <f>M75*P45</f>
        <v>185948029</v>
      </c>
      <c r="O75" t="s">
        <v>25</v>
      </c>
      <c r="P75" s="115"/>
      <c r="Q75" s="26"/>
      <c r="R75" s="185"/>
      <c r="S75" s="185"/>
      <c r="T75" t="s">
        <v>25</v>
      </c>
      <c r="U75" s="96" t="s">
        <v>25</v>
      </c>
      <c r="V75" s="96" t="s">
        <v>25</v>
      </c>
      <c r="AH75" s="20">
        <v>55</v>
      </c>
      <c r="AI75" s="117" t="s">
        <v>4269</v>
      </c>
      <c r="AJ75" s="117">
        <v>232000</v>
      </c>
      <c r="AK75" s="20">
        <v>2</v>
      </c>
      <c r="AL75" s="99">
        <f t="shared" si="17"/>
        <v>48</v>
      </c>
      <c r="AM75" s="117">
        <f>AJ75*AL75</f>
        <v>11136000</v>
      </c>
      <c r="AN75" s="20" t="s">
        <v>4271</v>
      </c>
    </row>
    <row r="76" spans="1:47">
      <c r="D76" s="3"/>
      <c r="E76" s="11" t="s">
        <v>304</v>
      </c>
      <c r="M76" t="s">
        <v>4280</v>
      </c>
      <c r="N76" t="s">
        <v>4277</v>
      </c>
      <c r="P76" s="115"/>
      <c r="R76" t="s">
        <v>25</v>
      </c>
      <c r="T76" t="s">
        <v>25</v>
      </c>
      <c r="U76" s="96" t="s">
        <v>25</v>
      </c>
      <c r="V76" s="96" t="s">
        <v>25</v>
      </c>
      <c r="AH76" s="20">
        <v>56</v>
      </c>
      <c r="AI76" s="117" t="s">
        <v>4282</v>
      </c>
      <c r="AJ76" s="117">
        <v>-170000</v>
      </c>
      <c r="AK76" s="20">
        <v>3</v>
      </c>
      <c r="AL76" s="99">
        <f t="shared" si="17"/>
        <v>46</v>
      </c>
      <c r="AM76" s="117">
        <f t="shared" si="9"/>
        <v>-7820000</v>
      </c>
      <c r="AN76" s="20"/>
    </row>
    <row r="77" spans="1:47">
      <c r="D77" s="1" t="s">
        <v>305</v>
      </c>
      <c r="E77" s="1">
        <v>70000</v>
      </c>
      <c r="N77" t="s">
        <v>25</v>
      </c>
      <c r="P77" s="115"/>
      <c r="Q77" t="s">
        <v>25</v>
      </c>
      <c r="R77" t="s">
        <v>25</v>
      </c>
      <c r="T77" t="s">
        <v>25</v>
      </c>
      <c r="U77" s="96" t="s">
        <v>25</v>
      </c>
      <c r="AH77" s="20">
        <v>57</v>
      </c>
      <c r="AI77" s="117" t="s">
        <v>4296</v>
      </c>
      <c r="AJ77" s="117">
        <v>-300000</v>
      </c>
      <c r="AK77" s="20">
        <v>3</v>
      </c>
      <c r="AL77" s="99">
        <f t="shared" si="17"/>
        <v>43</v>
      </c>
      <c r="AM77" s="117">
        <f t="shared" si="9"/>
        <v>-12900000</v>
      </c>
      <c r="AN77" s="20"/>
    </row>
    <row r="78" spans="1:47">
      <c r="D78" s="1" t="s">
        <v>321</v>
      </c>
      <c r="E78" s="1">
        <v>100000</v>
      </c>
      <c r="P78" s="115"/>
      <c r="Q78" t="s">
        <v>25</v>
      </c>
      <c r="S78" t="s">
        <v>25</v>
      </c>
      <c r="T78" t="s">
        <v>25</v>
      </c>
      <c r="U78" s="96" t="s">
        <v>25</v>
      </c>
      <c r="AD78" s="115"/>
      <c r="AE78" s="115"/>
      <c r="AH78" s="20">
        <v>58</v>
      </c>
      <c r="AI78" s="117" t="s">
        <v>4305</v>
      </c>
      <c r="AJ78" s="117">
        <v>-11400000</v>
      </c>
      <c r="AK78" s="20">
        <v>13</v>
      </c>
      <c r="AL78" s="99">
        <f>AL79+AK78</f>
        <v>40</v>
      </c>
      <c r="AM78" s="117">
        <f t="shared" si="9"/>
        <v>-456000000</v>
      </c>
      <c r="AN78" s="20"/>
    </row>
    <row r="79" spans="1:47">
      <c r="D79" s="1" t="s">
        <v>306</v>
      </c>
      <c r="E79" s="1">
        <v>80000</v>
      </c>
      <c r="M79" t="s">
        <v>949</v>
      </c>
      <c r="N79">
        <v>6.3E-3</v>
      </c>
      <c r="P79" s="115"/>
      <c r="V79" s="96"/>
      <c r="W79"/>
      <c r="AC79" s="115"/>
      <c r="AD79" s="115"/>
      <c r="AE79" s="115"/>
      <c r="AF79"/>
      <c r="AH79" s="20">
        <v>59</v>
      </c>
      <c r="AI79" s="117" t="s">
        <v>4367</v>
      </c>
      <c r="AJ79" s="117">
        <v>-10000000</v>
      </c>
      <c r="AK79" s="20">
        <v>1</v>
      </c>
      <c r="AL79" s="99">
        <f>AL80+AK79</f>
        <v>27</v>
      </c>
      <c r="AM79" s="117">
        <f>AJ79*AL79</f>
        <v>-270000000</v>
      </c>
      <c r="AN79" s="20"/>
      <c r="AS79" s="96"/>
      <c r="AU79"/>
    </row>
    <row r="80" spans="1:47">
      <c r="D80" s="31" t="s">
        <v>307</v>
      </c>
      <c r="E80" s="1">
        <v>150000</v>
      </c>
      <c r="M80" t="s">
        <v>61</v>
      </c>
      <c r="N80">
        <v>4.8999999999999998E-3</v>
      </c>
      <c r="P80" s="115"/>
      <c r="V80" s="96"/>
      <c r="W80"/>
      <c r="AC80" s="115"/>
      <c r="AD80" s="115"/>
      <c r="AE80" s="115"/>
      <c r="AF80"/>
      <c r="AH80" s="20">
        <v>60</v>
      </c>
      <c r="AI80" s="117" t="s">
        <v>4368</v>
      </c>
      <c r="AJ80" s="117">
        <v>-2450000</v>
      </c>
      <c r="AK80" s="20">
        <v>5</v>
      </c>
      <c r="AL80" s="99">
        <f>AL81+AK80</f>
        <v>26</v>
      </c>
      <c r="AM80" s="117">
        <f>AJ80*AL80</f>
        <v>-63700000</v>
      </c>
      <c r="AN80" s="20"/>
      <c r="AS80" s="96"/>
      <c r="AU8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P81" s="115"/>
      <c r="Q81" s="99" t="s">
        <v>4519</v>
      </c>
      <c r="R81" s="99" t="s">
        <v>4521</v>
      </c>
      <c r="S81" s="99"/>
      <c r="T81" s="99" t="s">
        <v>4522</v>
      </c>
      <c r="U81" s="99"/>
      <c r="V81" s="99"/>
      <c r="AD81" s="115"/>
      <c r="AE81" s="115"/>
      <c r="AF81" s="115"/>
      <c r="AH81" s="20">
        <v>61</v>
      </c>
      <c r="AI81" s="117" t="s">
        <v>4392</v>
      </c>
      <c r="AJ81" s="117">
        <v>-456081</v>
      </c>
      <c r="AK81" s="20">
        <v>1</v>
      </c>
      <c r="AL81" s="99">
        <f t="shared" si="17"/>
        <v>21</v>
      </c>
      <c r="AM81" s="117">
        <f t="shared" si="9"/>
        <v>-9577701</v>
      </c>
      <c r="AN81" s="20"/>
    </row>
    <row r="82" spans="4:52">
      <c r="D82" s="31" t="s">
        <v>309</v>
      </c>
      <c r="E82" s="1">
        <v>100000</v>
      </c>
      <c r="O82" t="s">
        <v>25</v>
      </c>
      <c r="P82" t="s">
        <v>25</v>
      </c>
      <c r="Q82" s="113">
        <v>1000</v>
      </c>
      <c r="R82" s="99">
        <v>0.25</v>
      </c>
      <c r="S82" s="99"/>
      <c r="T82" s="99">
        <f>1-R82</f>
        <v>0.75</v>
      </c>
      <c r="U82" s="99"/>
      <c r="V82" s="99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4395</v>
      </c>
      <c r="AJ82" s="117">
        <v>-500000</v>
      </c>
      <c r="AK82" s="20">
        <v>2</v>
      </c>
      <c r="AL82" s="99">
        <f>AL83+AK82</f>
        <v>20</v>
      </c>
      <c r="AM82" s="117">
        <f t="shared" si="9"/>
        <v>-10000000</v>
      </c>
      <c r="AN82" s="20"/>
      <c r="AO82" t="s">
        <v>25</v>
      </c>
      <c r="AQ82" t="s">
        <v>25</v>
      </c>
      <c r="AR82" t="s">
        <v>25</v>
      </c>
      <c r="AW82" t="s">
        <v>25</v>
      </c>
    </row>
    <row r="83" spans="4:52">
      <c r="D83" s="31" t="s">
        <v>310</v>
      </c>
      <c r="E83" s="1">
        <v>200000</v>
      </c>
      <c r="Q83" s="169" t="s">
        <v>4505</v>
      </c>
      <c r="R83" s="169" t="s">
        <v>4524</v>
      </c>
      <c r="S83" s="169" t="s">
        <v>4528</v>
      </c>
      <c r="T83" s="169" t="s">
        <v>180</v>
      </c>
      <c r="U83" s="169" t="s">
        <v>4520</v>
      </c>
      <c r="V83" s="56" t="s">
        <v>4523</v>
      </c>
      <c r="X83" s="115"/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4416</v>
      </c>
      <c r="AJ83" s="117">
        <v>-6234370</v>
      </c>
      <c r="AK83" s="20">
        <v>3</v>
      </c>
      <c r="AL83" s="99">
        <f t="shared" si="17"/>
        <v>18</v>
      </c>
      <c r="AM83" s="117">
        <f t="shared" si="9"/>
        <v>-112218660</v>
      </c>
      <c r="AN83" s="20"/>
    </row>
    <row r="84" spans="4:52">
      <c r="D84" s="18" t="s">
        <v>311</v>
      </c>
      <c r="E84" s="18">
        <v>300000</v>
      </c>
      <c r="Q84" s="169" t="s">
        <v>751</v>
      </c>
      <c r="R84" s="113">
        <v>719930</v>
      </c>
      <c r="S84" s="113">
        <f>R84*$U$100</f>
        <v>172079908.80618101</v>
      </c>
      <c r="T84" s="169" t="s">
        <v>4518</v>
      </c>
      <c r="U84" s="169">
        <f>$Q$82*$T$82*S84/$R$108</f>
        <v>539.94749999999999</v>
      </c>
      <c r="V84" s="95">
        <f>S84+U84</f>
        <v>172080448.753681</v>
      </c>
      <c r="X84" s="163"/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4427</v>
      </c>
      <c r="AJ84" s="117">
        <v>1950957</v>
      </c>
      <c r="AK84" s="20">
        <v>4</v>
      </c>
      <c r="AL84" s="99">
        <f t="shared" si="17"/>
        <v>15</v>
      </c>
      <c r="AM84" s="117">
        <f t="shared" si="9"/>
        <v>29264355</v>
      </c>
      <c r="AN84" s="20"/>
      <c r="AZ84" t="s">
        <v>25</v>
      </c>
    </row>
    <row r="85" spans="4:52">
      <c r="D85" s="32" t="s">
        <v>312</v>
      </c>
      <c r="E85" s="1">
        <v>200000</v>
      </c>
      <c r="Q85" s="169" t="s">
        <v>4507</v>
      </c>
      <c r="R85" s="113">
        <v>264053</v>
      </c>
      <c r="S85" s="113">
        <f>R85*$U$100</f>
        <v>63114769.713720106</v>
      </c>
      <c r="T85" s="169" t="s">
        <v>4518</v>
      </c>
      <c r="U85" s="169">
        <f>$Q$82*$T$82*S85/$R$108+Q82*R82</f>
        <v>448.03975000000003</v>
      </c>
      <c r="V85" s="95">
        <f>S85+U85</f>
        <v>63115217.753470108</v>
      </c>
      <c r="X85" s="115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4464</v>
      </c>
      <c r="AJ85" s="117">
        <v>600000</v>
      </c>
      <c r="AK85" s="20">
        <v>5</v>
      </c>
      <c r="AL85" s="99">
        <f t="shared" si="17"/>
        <v>11</v>
      </c>
      <c r="AM85" s="117">
        <f t="shared" si="9"/>
        <v>6600000</v>
      </c>
      <c r="AN85" s="20"/>
      <c r="AV85" t="s">
        <v>25</v>
      </c>
    </row>
    <row r="86" spans="4:52">
      <c r="D86" s="32" t="s">
        <v>313</v>
      </c>
      <c r="E86" s="1">
        <v>20000</v>
      </c>
      <c r="M86" s="199" t="s">
        <v>4481</v>
      </c>
      <c r="P86" t="s">
        <v>25</v>
      </c>
      <c r="Q86" s="169" t="s">
        <v>1087</v>
      </c>
      <c r="R86" s="113">
        <v>3466</v>
      </c>
      <c r="S86" s="113">
        <f>R86*$U$100</f>
        <v>828454.10515220009</v>
      </c>
      <c r="T86" s="169" t="s">
        <v>4518</v>
      </c>
      <c r="U86" s="169">
        <f>$Q$82*$T$82*S86/$R$108</f>
        <v>2.5994999999999999</v>
      </c>
      <c r="V86" s="95">
        <f>S86+U86</f>
        <v>828456.7046522001</v>
      </c>
      <c r="X86" s="115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4483</v>
      </c>
      <c r="AJ86" s="117">
        <v>7500000</v>
      </c>
      <c r="AK86" s="20">
        <v>2</v>
      </c>
      <c r="AL86" s="99">
        <f t="shared" si="17"/>
        <v>6</v>
      </c>
      <c r="AM86" s="117">
        <f t="shared" si="9"/>
        <v>45000000</v>
      </c>
      <c r="AN86" s="20"/>
    </row>
    <row r="87" spans="4:52">
      <c r="D87" s="32" t="s">
        <v>315</v>
      </c>
      <c r="E87" s="1">
        <v>50000</v>
      </c>
      <c r="Q87" s="169" t="s">
        <v>4506</v>
      </c>
      <c r="R87" s="113">
        <v>12551</v>
      </c>
      <c r="S87" s="113">
        <f>R87*$U$100</f>
        <v>2999979.0749467001</v>
      </c>
      <c r="T87" s="169" t="s">
        <v>4518</v>
      </c>
      <c r="U87" s="169">
        <f>$Q$82*$T$82*S87/$R$108</f>
        <v>9.4132500000000014</v>
      </c>
      <c r="V87" s="95">
        <f>S87+U87</f>
        <v>2999988.4881967003</v>
      </c>
      <c r="X87" s="115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4494</v>
      </c>
      <c r="AJ87" s="117">
        <v>-587816</v>
      </c>
      <c r="AK87" s="20">
        <v>3</v>
      </c>
      <c r="AL87" s="99">
        <f t="shared" si="17"/>
        <v>4</v>
      </c>
      <c r="AM87" s="117">
        <f t="shared" si="9"/>
        <v>-2351264</v>
      </c>
      <c r="AN87" s="20"/>
      <c r="AQ87" t="s">
        <v>25</v>
      </c>
      <c r="AU87" s="96" t="s">
        <v>25</v>
      </c>
    </row>
    <row r="88" spans="4:52">
      <c r="D88" s="32" t="s">
        <v>316</v>
      </c>
      <c r="E88" s="1">
        <v>90000</v>
      </c>
      <c r="Q88" s="169"/>
      <c r="R88" s="169"/>
      <c r="S88" s="169"/>
      <c r="T88" s="169"/>
      <c r="U88" s="169"/>
      <c r="V88" s="99"/>
      <c r="X88" s="115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4493</v>
      </c>
      <c r="AJ88" s="117">
        <v>-907489</v>
      </c>
      <c r="AK88" s="20">
        <v>1</v>
      </c>
      <c r="AL88" s="99">
        <f>AL89+AK88</f>
        <v>1</v>
      </c>
      <c r="AM88" s="117">
        <f t="shared" si="9"/>
        <v>-907489</v>
      </c>
      <c r="AN88" s="20"/>
      <c r="AP88" t="s">
        <v>25</v>
      </c>
      <c r="AU88" s="96" t="s">
        <v>25</v>
      </c>
    </row>
    <row r="89" spans="4:52">
      <c r="D89" s="32" t="s">
        <v>317</v>
      </c>
      <c r="E89" s="1">
        <v>50000</v>
      </c>
      <c r="Q89" s="169"/>
      <c r="R89" s="169"/>
      <c r="S89" s="169"/>
      <c r="T89" s="169"/>
      <c r="U89" s="169"/>
      <c r="V89" s="169"/>
      <c r="W89" s="115" t="s">
        <v>25</v>
      </c>
      <c r="X89" s="96"/>
      <c r="Y89" s="115"/>
      <c r="Z89" s="115"/>
      <c r="AA89" s="115"/>
      <c r="AB89" s="115"/>
      <c r="AC89" s="115"/>
      <c r="AD89" s="115"/>
      <c r="AE89" s="115"/>
      <c r="AF89" s="115"/>
      <c r="AG89" s="115"/>
      <c r="AH89" s="20"/>
      <c r="AI89" s="117"/>
      <c r="AJ89" s="117"/>
      <c r="AK89" s="20"/>
      <c r="AL89" s="99">
        <f t="shared" si="17"/>
        <v>0</v>
      </c>
      <c r="AM89" s="117">
        <f t="shared" si="9"/>
        <v>0</v>
      </c>
      <c r="AN89" s="20"/>
      <c r="AQ89" t="s">
        <v>25</v>
      </c>
      <c r="AV89" t="s">
        <v>25</v>
      </c>
    </row>
    <row r="90" spans="4:52">
      <c r="D90" s="32" t="s">
        <v>327</v>
      </c>
      <c r="E90" s="1">
        <v>150000</v>
      </c>
      <c r="Q90" s="169"/>
      <c r="R90" s="169"/>
      <c r="S90" s="169"/>
      <c r="T90" s="169"/>
      <c r="U90" s="169"/>
      <c r="V90" s="169"/>
      <c r="W90" s="115"/>
      <c r="X90" s="96"/>
      <c r="Y90" s="115"/>
      <c r="Z90" s="115"/>
      <c r="AA90" s="115"/>
      <c r="AB90" s="115"/>
      <c r="AC90" s="115"/>
      <c r="AD90" s="115"/>
      <c r="AE90"/>
      <c r="AG90" s="115"/>
      <c r="AH90" s="20"/>
      <c r="AI90" s="117"/>
      <c r="AJ90" s="117"/>
      <c r="AK90" s="20"/>
      <c r="AL90" s="99">
        <f t="shared" si="17"/>
        <v>0</v>
      </c>
      <c r="AM90" s="117">
        <f t="shared" si="9"/>
        <v>0</v>
      </c>
      <c r="AN90" s="20"/>
      <c r="AP90" t="s">
        <v>25</v>
      </c>
    </row>
    <row r="91" spans="4:52">
      <c r="D91" s="32" t="s">
        <v>318</v>
      </c>
      <c r="E91" s="1">
        <v>15000</v>
      </c>
      <c r="Q91" s="99"/>
      <c r="R91" s="99"/>
      <c r="S91" s="99"/>
      <c r="T91" s="99" t="s">
        <v>25</v>
      </c>
      <c r="U91" s="99"/>
      <c r="V91" s="99"/>
      <c r="W91" s="115"/>
      <c r="X91" s="96"/>
      <c r="Y91" s="115"/>
      <c r="Z91" s="115"/>
      <c r="AA91" s="115"/>
      <c r="AE91"/>
      <c r="AG91" s="96"/>
      <c r="AH91" s="20"/>
      <c r="AI91" s="117"/>
      <c r="AJ91" s="117"/>
      <c r="AK91" s="20"/>
      <c r="AL91" s="99">
        <f t="shared" si="17"/>
        <v>0</v>
      </c>
      <c r="AM91" s="117">
        <f t="shared" si="9"/>
        <v>0</v>
      </c>
      <c r="AN91" s="20"/>
      <c r="AT91" s="96" t="s">
        <v>25</v>
      </c>
    </row>
    <row r="92" spans="4:52">
      <c r="D92" s="32" t="s">
        <v>319</v>
      </c>
      <c r="E92" s="1">
        <v>20000</v>
      </c>
      <c r="Q92" s="99"/>
      <c r="R92" s="99"/>
      <c r="S92" s="99"/>
      <c r="T92" s="99"/>
      <c r="U92" s="99"/>
      <c r="V92" s="99"/>
      <c r="W92" s="115"/>
      <c r="X92" s="96"/>
      <c r="Y92" s="115"/>
      <c r="Z92" s="115"/>
      <c r="AA92" s="115"/>
      <c r="AE92"/>
      <c r="AG92" s="96"/>
      <c r="AH92" s="20"/>
      <c r="AI92" s="117"/>
      <c r="AJ92" s="117"/>
      <c r="AK92" s="20"/>
      <c r="AL92" s="99">
        <f t="shared" si="17"/>
        <v>0</v>
      </c>
      <c r="AM92" s="117">
        <f t="shared" si="9"/>
        <v>0</v>
      </c>
      <c r="AN92" s="20"/>
    </row>
    <row r="93" spans="4:52">
      <c r="D93" s="32" t="s">
        <v>320</v>
      </c>
      <c r="E93" s="1">
        <v>40000</v>
      </c>
      <c r="Q93" s="99"/>
      <c r="R93" s="99"/>
      <c r="S93" s="99"/>
      <c r="T93" s="99"/>
      <c r="U93" s="99"/>
      <c r="V93" s="99"/>
      <c r="W93" s="115"/>
      <c r="X93" s="96"/>
      <c r="Y93" s="115"/>
      <c r="Z93" s="115"/>
      <c r="AA93" s="115"/>
      <c r="AE93"/>
      <c r="AG93" s="96"/>
      <c r="AH93" s="20"/>
      <c r="AI93" s="117"/>
      <c r="AJ93" s="117"/>
      <c r="AK93" s="20"/>
      <c r="AL93" s="99">
        <f>AL94+AK93</f>
        <v>0</v>
      </c>
      <c r="AM93" s="117">
        <f t="shared" si="9"/>
        <v>0</v>
      </c>
      <c r="AN93" s="20"/>
    </row>
    <row r="94" spans="4:52">
      <c r="D94" s="32" t="s">
        <v>322</v>
      </c>
      <c r="E94" s="1">
        <v>150000</v>
      </c>
      <c r="P94" s="115"/>
      <c r="Q94" s="96"/>
      <c r="R94" s="96"/>
      <c r="S94" s="96"/>
      <c r="T94" s="96"/>
      <c r="V94" s="96"/>
      <c r="X94" s="115"/>
      <c r="AH94" s="20"/>
      <c r="AI94" s="117"/>
      <c r="AJ94" s="117"/>
      <c r="AK94" s="20"/>
      <c r="AL94" s="99">
        <f t="shared" si="17"/>
        <v>0</v>
      </c>
      <c r="AM94" s="117">
        <f t="shared" si="9"/>
        <v>0</v>
      </c>
      <c r="AN94" s="20"/>
    </row>
    <row r="95" spans="4:52">
      <c r="D95" s="32" t="s">
        <v>324</v>
      </c>
      <c r="E95" s="1">
        <v>75000</v>
      </c>
      <c r="P95" s="128"/>
      <c r="Q95" s="96"/>
      <c r="R95" s="96"/>
      <c r="S95" s="96"/>
      <c r="T95" s="96"/>
      <c r="V95" s="96"/>
      <c r="AH95" s="99"/>
      <c r="AI95" s="113"/>
      <c r="AJ95" s="113"/>
      <c r="AK95" s="99"/>
      <c r="AL95" s="99">
        <f t="shared" si="17"/>
        <v>0</v>
      </c>
      <c r="AM95" s="117">
        <f t="shared" si="9"/>
        <v>0</v>
      </c>
      <c r="AN95" s="99"/>
    </row>
    <row r="96" spans="4:52">
      <c r="D96" s="32" t="s">
        <v>314</v>
      </c>
      <c r="E96" s="1">
        <v>140000</v>
      </c>
      <c r="P96" s="128"/>
      <c r="Q96" s="96"/>
      <c r="R96" s="96"/>
      <c r="S96" s="96"/>
      <c r="T96" s="96" t="s">
        <v>25</v>
      </c>
      <c r="V96" s="96"/>
      <c r="AH96" s="99"/>
      <c r="AI96" s="113"/>
      <c r="AJ96" s="113"/>
      <c r="AK96" s="99"/>
      <c r="AL96" s="99">
        <f t="shared" si="17"/>
        <v>0</v>
      </c>
      <c r="AM96" s="117">
        <f t="shared" si="9"/>
        <v>0</v>
      </c>
      <c r="AN96" s="99"/>
    </row>
    <row r="97" spans="4:40">
      <c r="D97" s="2" t="s">
        <v>478</v>
      </c>
      <c r="E97" s="3">
        <v>1083333</v>
      </c>
      <c r="P97" s="115"/>
      <c r="Q97" s="96"/>
      <c r="R97" s="96"/>
      <c r="S97" s="96"/>
      <c r="T97" s="96"/>
      <c r="V97" s="96"/>
      <c r="AH97" s="99"/>
      <c r="AI97" s="99"/>
      <c r="AJ97" s="95">
        <f>SUM(AJ20:AJ95)</f>
        <v>199739100</v>
      </c>
      <c r="AK97" s="99"/>
      <c r="AL97" s="99"/>
      <c r="AM97" s="95">
        <f>SUM(AM20:AM96)</f>
        <v>22184629437</v>
      </c>
      <c r="AN97" s="95">
        <f>AM97*AN100/31</f>
        <v>14312664.152903225</v>
      </c>
    </row>
    <row r="98" spans="4:40">
      <c r="D98" s="2"/>
      <c r="E98" s="3"/>
      <c r="H98" s="96"/>
      <c r="Q98" s="96"/>
      <c r="R98" s="96"/>
      <c r="S98" s="96"/>
      <c r="T98" s="96"/>
      <c r="V98" s="96"/>
      <c r="AH98" s="99"/>
      <c r="AI98" s="99"/>
      <c r="AJ98" s="99" t="s">
        <v>4062</v>
      </c>
      <c r="AK98" s="99"/>
      <c r="AL98" s="99"/>
      <c r="AM98" s="99" t="s">
        <v>284</v>
      </c>
      <c r="AN98" s="99" t="s">
        <v>943</v>
      </c>
    </row>
    <row r="99" spans="4:40" ht="30">
      <c r="D99" s="2"/>
      <c r="E99" s="3"/>
      <c r="O99" s="115"/>
      <c r="Q99" s="36" t="s">
        <v>4510</v>
      </c>
      <c r="R99" s="95">
        <f>SUM(N44:N51)</f>
        <v>208813957.50000003</v>
      </c>
      <c r="T99" s="113" t="s">
        <v>4526</v>
      </c>
      <c r="U99" s="56">
        <v>1000000</v>
      </c>
      <c r="V99" s="96"/>
      <c r="AH99" s="99"/>
      <c r="AI99" s="99"/>
      <c r="AJ99" s="99"/>
      <c r="AK99" s="99"/>
      <c r="AL99" s="99"/>
      <c r="AM99" s="99"/>
      <c r="AN99" s="99"/>
    </row>
    <row r="100" spans="4:40">
      <c r="D100" s="2" t="s">
        <v>6</v>
      </c>
      <c r="E100" s="3">
        <f>SUM(E77:E98)</f>
        <v>3383333</v>
      </c>
      <c r="K100" s="48" t="s">
        <v>788</v>
      </c>
      <c r="L100" s="48" t="s">
        <v>476</v>
      </c>
      <c r="O100" s="115"/>
      <c r="Q100" s="99" t="s">
        <v>4508</v>
      </c>
      <c r="R100" s="95">
        <f>SUM(N21:N25)</f>
        <v>24412297.800000001</v>
      </c>
      <c r="T100" s="169" t="s">
        <v>4525</v>
      </c>
      <c r="U100" s="113">
        <f>R108/U99</f>
        <v>239.02311170000002</v>
      </c>
      <c r="V100" s="96"/>
      <c r="AH100" s="99"/>
      <c r="AI100" s="99"/>
      <c r="AJ100" s="99"/>
      <c r="AK100" s="99"/>
      <c r="AL100" s="99"/>
      <c r="AM100" s="99" t="s">
        <v>4063</v>
      </c>
      <c r="AN100" s="99">
        <v>0.02</v>
      </c>
    </row>
    <row r="101" spans="4:40">
      <c r="D101" s="2" t="s">
        <v>328</v>
      </c>
      <c r="E101" s="3">
        <f>E100/30</f>
        <v>112777.76666666666</v>
      </c>
      <c r="K101" s="47">
        <v>700000</v>
      </c>
      <c r="L101" s="48" t="s">
        <v>1039</v>
      </c>
      <c r="Q101" s="99" t="s">
        <v>4509</v>
      </c>
      <c r="R101" s="95">
        <f>SUM(N28:N30)</f>
        <v>2796856.1999999997</v>
      </c>
      <c r="T101" s="169"/>
      <c r="U101" s="169"/>
      <c r="V101" s="96"/>
      <c r="AH101" s="99"/>
      <c r="AI101" s="99"/>
      <c r="AJ101" s="99"/>
      <c r="AK101" s="99"/>
      <c r="AL101" s="99"/>
      <c r="AM101" s="99"/>
      <c r="AN101" s="99"/>
    </row>
    <row r="102" spans="4:40">
      <c r="K102" s="47">
        <v>500000</v>
      </c>
      <c r="L102" s="48" t="s">
        <v>479</v>
      </c>
      <c r="Q102" s="99" t="s">
        <v>4511</v>
      </c>
      <c r="R102" s="95">
        <f>N42</f>
        <v>0.2</v>
      </c>
      <c r="T102" s="169"/>
      <c r="U102" s="169"/>
      <c r="V102" s="96"/>
      <c r="AH102" s="99"/>
      <c r="AI102" s="99" t="s">
        <v>4064</v>
      </c>
      <c r="AJ102" s="95">
        <f>AJ97+AN97</f>
        <v>214051764.15290323</v>
      </c>
      <c r="AK102" s="99"/>
      <c r="AL102" s="99"/>
      <c r="AM102" s="99"/>
      <c r="AN102" s="99"/>
    </row>
    <row r="103" spans="4:40">
      <c r="K103" s="47">
        <v>180000</v>
      </c>
      <c r="L103" s="48" t="s">
        <v>558</v>
      </c>
      <c r="Q103" s="99" t="s">
        <v>4512</v>
      </c>
      <c r="R103" s="95">
        <f>N20</f>
        <v>0</v>
      </c>
      <c r="T103" s="169"/>
      <c r="U103" s="169"/>
      <c r="V103" s="96"/>
      <c r="AI103" t="s">
        <v>4067</v>
      </c>
      <c r="AJ103" s="114">
        <f>SUM(N42:N51)-N46</f>
        <v>205458938.10000002</v>
      </c>
    </row>
    <row r="104" spans="4:40">
      <c r="K104" s="47">
        <v>0</v>
      </c>
      <c r="L104" s="48" t="s">
        <v>784</v>
      </c>
      <c r="Q104" s="99" t="s">
        <v>4513</v>
      </c>
      <c r="R104" s="95">
        <f>N27</f>
        <v>0</v>
      </c>
      <c r="T104" s="169"/>
      <c r="U104" s="169"/>
      <c r="V104" s="96"/>
      <c r="AI104" t="s">
        <v>4139</v>
      </c>
      <c r="AJ104" s="114">
        <f>AJ103-AJ97</f>
        <v>5719838.1000000238</v>
      </c>
    </row>
    <row r="105" spans="4:40">
      <c r="K105" s="47">
        <v>0</v>
      </c>
      <c r="L105" s="48" t="s">
        <v>785</v>
      </c>
      <c r="Q105" s="99" t="s">
        <v>4527</v>
      </c>
      <c r="R105" s="95">
        <v>3000000</v>
      </c>
      <c r="T105" s="169"/>
      <c r="U105" s="169"/>
      <c r="V105" s="96"/>
      <c r="AI105" t="s">
        <v>943</v>
      </c>
      <c r="AJ105" s="114">
        <f>AN97</f>
        <v>14312664.152903225</v>
      </c>
    </row>
    <row r="106" spans="4:40">
      <c r="K106" s="47">
        <v>500000</v>
      </c>
      <c r="L106" s="48" t="s">
        <v>786</v>
      </c>
      <c r="Q106" s="99"/>
      <c r="R106" s="95"/>
      <c r="T106" s="169"/>
      <c r="U106" s="169"/>
      <c r="V106" s="96"/>
      <c r="AI106" t="s">
        <v>4068</v>
      </c>
      <c r="AJ106" s="114">
        <f>AJ103-AJ102</f>
        <v>-8592826.0529032052</v>
      </c>
    </row>
    <row r="107" spans="4:40">
      <c r="K107" s="47">
        <v>75000</v>
      </c>
      <c r="L107" s="48" t="s">
        <v>787</v>
      </c>
      <c r="Q107" s="99"/>
      <c r="R107" s="99"/>
      <c r="T107" s="169"/>
      <c r="U107" s="169"/>
      <c r="V107" s="96"/>
    </row>
    <row r="108" spans="4:40">
      <c r="K108" s="47">
        <v>0</v>
      </c>
      <c r="L108" s="48" t="s">
        <v>789</v>
      </c>
      <c r="Q108" s="99" t="s">
        <v>4517</v>
      </c>
      <c r="R108" s="95">
        <f>SUM(R99:R106)</f>
        <v>239023111.70000002</v>
      </c>
      <c r="S108" s="115"/>
      <c r="AJ108" t="s">
        <v>25</v>
      </c>
    </row>
    <row r="109" spans="4:40">
      <c r="K109" s="47">
        <v>500000</v>
      </c>
      <c r="L109" s="48" t="s">
        <v>564</v>
      </c>
      <c r="S109" s="122"/>
    </row>
    <row r="110" spans="4:40">
      <c r="K110" s="47">
        <v>50000</v>
      </c>
      <c r="L110" s="48" t="s">
        <v>792</v>
      </c>
      <c r="Q110" s="55"/>
      <c r="R110" s="186"/>
      <c r="S110" s="115"/>
    </row>
    <row r="111" spans="4:40" ht="60">
      <c r="K111" s="47">
        <v>140000</v>
      </c>
      <c r="L111" s="48" t="s">
        <v>314</v>
      </c>
      <c r="Q111" s="55"/>
      <c r="R111" s="186"/>
      <c r="S111" s="115"/>
      <c r="T111" s="22" t="s">
        <v>4530</v>
      </c>
    </row>
    <row r="112" spans="4:40" ht="45">
      <c r="K112" s="47"/>
      <c r="L112" s="48" t="s">
        <v>25</v>
      </c>
      <c r="Q112" s="122"/>
      <c r="R112" s="115"/>
      <c r="T112" s="22" t="s">
        <v>4531</v>
      </c>
    </row>
    <row r="113" spans="11:43">
      <c r="K113" s="47">
        <f>SUM(K101:K112)</f>
        <v>2645000</v>
      </c>
      <c r="L113" s="48" t="s">
        <v>6</v>
      </c>
      <c r="AH113" s="99" t="s">
        <v>3643</v>
      </c>
      <c r="AI113" s="99" t="s">
        <v>180</v>
      </c>
      <c r="AJ113" s="99" t="s">
        <v>267</v>
      </c>
      <c r="AK113" s="99" t="s">
        <v>4061</v>
      </c>
      <c r="AL113" s="99" t="s">
        <v>4053</v>
      </c>
      <c r="AM113" s="99" t="s">
        <v>282</v>
      </c>
      <c r="AN113" s="99" t="s">
        <v>4306</v>
      </c>
    </row>
    <row r="114" spans="11:43">
      <c r="AH114" s="99">
        <v>1</v>
      </c>
      <c r="AI114" s="99" t="s">
        <v>3952</v>
      </c>
      <c r="AJ114" s="117">
        <v>3555820</v>
      </c>
      <c r="AK114" s="99">
        <v>2</v>
      </c>
      <c r="AL114" s="99">
        <f>AK114+AL115</f>
        <v>135</v>
      </c>
      <c r="AM114" s="99">
        <f>AJ114*AL114</f>
        <v>480035700</v>
      </c>
      <c r="AN114" s="99" t="s">
        <v>4330</v>
      </c>
    </row>
    <row r="115" spans="11:43">
      <c r="Q115" s="22"/>
      <c r="AH115" s="99">
        <v>2</v>
      </c>
      <c r="AI115" s="99" t="s">
        <v>4027</v>
      </c>
      <c r="AJ115" s="117">
        <v>1720837</v>
      </c>
      <c r="AK115" s="99">
        <v>51</v>
      </c>
      <c r="AL115" s="99">
        <f t="shared" ref="AL115:AL137" si="18">AK115+AL116</f>
        <v>133</v>
      </c>
      <c r="AM115" s="99">
        <f t="shared" ref="AM115:AM137" si="19">AJ115*AL115</f>
        <v>228871321</v>
      </c>
      <c r="AN115" s="99" t="s">
        <v>4331</v>
      </c>
    </row>
    <row r="116" spans="11:43">
      <c r="AH116" s="99">
        <v>3</v>
      </c>
      <c r="AI116" s="99" t="s">
        <v>4133</v>
      </c>
      <c r="AJ116" s="117">
        <v>150000</v>
      </c>
      <c r="AK116" s="99">
        <v>3</v>
      </c>
      <c r="AL116" s="99">
        <f t="shared" si="18"/>
        <v>82</v>
      </c>
      <c r="AM116" s="99">
        <f t="shared" si="19"/>
        <v>12300000</v>
      </c>
      <c r="AN116" s="99"/>
    </row>
    <row r="117" spans="11:43">
      <c r="AH117" s="99">
        <v>4</v>
      </c>
      <c r="AI117" s="99" t="s">
        <v>4148</v>
      </c>
      <c r="AJ117" s="117">
        <v>-95000</v>
      </c>
      <c r="AK117" s="99">
        <v>8</v>
      </c>
      <c r="AL117" s="99">
        <f t="shared" si="18"/>
        <v>79</v>
      </c>
      <c r="AM117" s="99">
        <f t="shared" si="19"/>
        <v>-7505000</v>
      </c>
      <c r="AN117" s="99"/>
    </row>
    <row r="118" spans="11:43">
      <c r="AH118" s="99">
        <v>5</v>
      </c>
      <c r="AI118" s="99" t="s">
        <v>4175</v>
      </c>
      <c r="AJ118" s="117">
        <v>3150000</v>
      </c>
      <c r="AK118" s="99">
        <v>16</v>
      </c>
      <c r="AL118" s="99">
        <f t="shared" si="18"/>
        <v>71</v>
      </c>
      <c r="AM118" s="99">
        <f t="shared" si="19"/>
        <v>223650000</v>
      </c>
      <c r="AN118" s="99"/>
    </row>
    <row r="119" spans="11:43">
      <c r="AH119" s="99">
        <v>6</v>
      </c>
      <c r="AI119" s="99" t="s">
        <v>4244</v>
      </c>
      <c r="AJ119" s="117">
        <v>-65000</v>
      </c>
      <c r="AK119" s="99">
        <v>1</v>
      </c>
      <c r="AL119" s="99">
        <f t="shared" si="18"/>
        <v>55</v>
      </c>
      <c r="AM119" s="99">
        <f t="shared" si="19"/>
        <v>-3575000</v>
      </c>
      <c r="AN119" s="99"/>
      <c r="AQ119" t="s">
        <v>25</v>
      </c>
    </row>
    <row r="120" spans="11:43">
      <c r="AH120" s="99">
        <v>7</v>
      </c>
      <c r="AI120" s="99" t="s">
        <v>4332</v>
      </c>
      <c r="AJ120" s="117">
        <v>-95000</v>
      </c>
      <c r="AK120" s="99">
        <v>6</v>
      </c>
      <c r="AL120" s="99">
        <f t="shared" si="18"/>
        <v>54</v>
      </c>
      <c r="AM120" s="99">
        <f t="shared" si="19"/>
        <v>-5130000</v>
      </c>
      <c r="AN120" s="99"/>
      <c r="AO120" t="s">
        <v>25</v>
      </c>
    </row>
    <row r="121" spans="11:43">
      <c r="AH121" s="99">
        <v>8</v>
      </c>
      <c r="AI121" s="99" t="s">
        <v>4333</v>
      </c>
      <c r="AJ121" s="117">
        <v>232000</v>
      </c>
      <c r="AK121" s="99">
        <v>7</v>
      </c>
      <c r="AL121" s="99">
        <f t="shared" si="18"/>
        <v>48</v>
      </c>
      <c r="AM121" s="99">
        <f t="shared" si="19"/>
        <v>11136000</v>
      </c>
      <c r="AN121" s="99"/>
      <c r="AP121" t="s">
        <v>25</v>
      </c>
    </row>
    <row r="122" spans="11:43">
      <c r="AH122" s="99">
        <v>9</v>
      </c>
      <c r="AI122" s="99" t="s">
        <v>4305</v>
      </c>
      <c r="AJ122" s="117">
        <v>13000000</v>
      </c>
      <c r="AK122" s="99">
        <v>2</v>
      </c>
      <c r="AL122" s="99">
        <f t="shared" si="18"/>
        <v>41</v>
      </c>
      <c r="AM122" s="99">
        <f t="shared" si="19"/>
        <v>533000000</v>
      </c>
      <c r="AN122" s="99"/>
    </row>
    <row r="123" spans="11:43">
      <c r="AH123" s="99">
        <v>10</v>
      </c>
      <c r="AI123" s="99" t="s">
        <v>4334</v>
      </c>
      <c r="AJ123" s="117">
        <v>10000000</v>
      </c>
      <c r="AK123" s="99">
        <v>3</v>
      </c>
      <c r="AL123" s="99">
        <f t="shared" si="18"/>
        <v>39</v>
      </c>
      <c r="AM123" s="99">
        <f t="shared" si="19"/>
        <v>390000000</v>
      </c>
      <c r="AN123" s="99"/>
    </row>
    <row r="124" spans="11:43">
      <c r="AH124" s="99">
        <v>11</v>
      </c>
      <c r="AI124" s="99" t="s">
        <v>4318</v>
      </c>
      <c r="AJ124" s="117">
        <v>3400000</v>
      </c>
      <c r="AK124" s="99">
        <v>9</v>
      </c>
      <c r="AL124" s="99">
        <f t="shared" si="18"/>
        <v>36</v>
      </c>
      <c r="AM124" s="99">
        <f t="shared" si="19"/>
        <v>122400000</v>
      </c>
      <c r="AN124" s="99"/>
    </row>
    <row r="125" spans="11:43">
      <c r="AH125" s="99">
        <v>12</v>
      </c>
      <c r="AI125" s="99" t="s">
        <v>4367</v>
      </c>
      <c r="AJ125" s="117">
        <v>-8736514</v>
      </c>
      <c r="AK125" s="99">
        <v>1</v>
      </c>
      <c r="AL125" s="99">
        <f>AK125+AL126</f>
        <v>27</v>
      </c>
      <c r="AM125" s="99">
        <f t="shared" si="19"/>
        <v>-235885878</v>
      </c>
      <c r="AN125" s="99"/>
    </row>
    <row r="126" spans="11:43">
      <c r="AH126" s="99">
        <v>13</v>
      </c>
      <c r="AI126" s="99" t="s">
        <v>4368</v>
      </c>
      <c r="AJ126" s="117">
        <v>555000</v>
      </c>
      <c r="AK126" s="99">
        <v>5</v>
      </c>
      <c r="AL126" s="99">
        <f t="shared" ref="AL126:AL136" si="20">AK126+AL127</f>
        <v>26</v>
      </c>
      <c r="AM126" s="99">
        <f t="shared" si="19"/>
        <v>14430000</v>
      </c>
      <c r="AN126" s="99"/>
    </row>
    <row r="127" spans="11:43">
      <c r="AH127" s="99">
        <v>14</v>
      </c>
      <c r="AI127" s="99" t="s">
        <v>4392</v>
      </c>
      <c r="AJ127" s="117">
        <v>-448308</v>
      </c>
      <c r="AK127" s="99">
        <v>6</v>
      </c>
      <c r="AL127" s="99">
        <f t="shared" si="20"/>
        <v>21</v>
      </c>
      <c r="AM127" s="99">
        <f t="shared" si="19"/>
        <v>-9414468</v>
      </c>
      <c r="AN127" s="99"/>
    </row>
    <row r="128" spans="11:43">
      <c r="AH128" s="99">
        <v>15</v>
      </c>
      <c r="AI128" s="99" t="s">
        <v>4427</v>
      </c>
      <c r="AJ128" s="117">
        <v>33225</v>
      </c>
      <c r="AK128" s="99">
        <v>0</v>
      </c>
      <c r="AL128" s="99">
        <f t="shared" si="20"/>
        <v>15</v>
      </c>
      <c r="AM128" s="99">
        <f t="shared" si="19"/>
        <v>498375</v>
      </c>
      <c r="AN128" s="99"/>
    </row>
    <row r="129" spans="34:40">
      <c r="AH129" s="149">
        <v>16</v>
      </c>
      <c r="AI129" s="149" t="s">
        <v>4427</v>
      </c>
      <c r="AJ129" s="193">
        <v>4098523</v>
      </c>
      <c r="AK129" s="149">
        <v>2</v>
      </c>
      <c r="AL129" s="149">
        <f t="shared" si="20"/>
        <v>15</v>
      </c>
      <c r="AM129" s="149">
        <f t="shared" si="19"/>
        <v>61477845</v>
      </c>
      <c r="AN129" s="149" t="s">
        <v>657</v>
      </c>
    </row>
    <row r="130" spans="34:40">
      <c r="AH130" s="149">
        <v>17</v>
      </c>
      <c r="AI130" s="149" t="s">
        <v>4443</v>
      </c>
      <c r="AJ130" s="193">
        <v>-1000000</v>
      </c>
      <c r="AK130" s="149">
        <v>7</v>
      </c>
      <c r="AL130" s="149">
        <f t="shared" si="20"/>
        <v>13</v>
      </c>
      <c r="AM130" s="149">
        <f t="shared" si="19"/>
        <v>-13000000</v>
      </c>
      <c r="AN130" s="149" t="s">
        <v>657</v>
      </c>
    </row>
    <row r="131" spans="34:40">
      <c r="AH131" s="149">
        <v>18</v>
      </c>
      <c r="AI131" s="149" t="s">
        <v>4483</v>
      </c>
      <c r="AJ131" s="193">
        <v>750000</v>
      </c>
      <c r="AK131" s="149">
        <v>1</v>
      </c>
      <c r="AL131" s="149">
        <f t="shared" si="20"/>
        <v>6</v>
      </c>
      <c r="AM131" s="149">
        <f t="shared" si="19"/>
        <v>4500000</v>
      </c>
      <c r="AN131" s="149" t="s">
        <v>657</v>
      </c>
    </row>
    <row r="132" spans="34:40">
      <c r="AH132" s="201">
        <v>19</v>
      </c>
      <c r="AI132" s="201" t="s">
        <v>4491</v>
      </c>
      <c r="AJ132" s="202">
        <v>-604152</v>
      </c>
      <c r="AK132" s="201">
        <v>0</v>
      </c>
      <c r="AL132" s="201">
        <f t="shared" si="20"/>
        <v>5</v>
      </c>
      <c r="AM132" s="201">
        <f t="shared" si="19"/>
        <v>-3020760</v>
      </c>
      <c r="AN132" s="201" t="s">
        <v>657</v>
      </c>
    </row>
    <row r="133" spans="34:40">
      <c r="AH133" s="99">
        <v>20</v>
      </c>
      <c r="AI133" s="99" t="s">
        <v>4492</v>
      </c>
      <c r="AJ133" s="117">
        <v>-587083</v>
      </c>
      <c r="AK133" s="99">
        <v>4</v>
      </c>
      <c r="AL133" s="99">
        <f t="shared" si="20"/>
        <v>5</v>
      </c>
      <c r="AM133" s="99">
        <f t="shared" si="19"/>
        <v>-2935415</v>
      </c>
      <c r="AN133" s="99"/>
    </row>
    <row r="134" spans="34:40">
      <c r="AH134" s="201">
        <v>21</v>
      </c>
      <c r="AI134" s="201" t="s">
        <v>4493</v>
      </c>
      <c r="AJ134" s="202">
        <v>-754351</v>
      </c>
      <c r="AK134" s="201">
        <v>0</v>
      </c>
      <c r="AL134" s="201">
        <f t="shared" si="20"/>
        <v>1</v>
      </c>
      <c r="AM134" s="201">
        <f t="shared" si="19"/>
        <v>-754351</v>
      </c>
      <c r="AN134" s="201" t="s">
        <v>657</v>
      </c>
    </row>
    <row r="135" spans="34:40">
      <c r="AH135" s="99">
        <v>22</v>
      </c>
      <c r="AI135" s="99" t="s">
        <v>4493</v>
      </c>
      <c r="AJ135" s="117">
        <v>-189619</v>
      </c>
      <c r="AK135" s="99">
        <v>1</v>
      </c>
      <c r="AL135" s="99">
        <f t="shared" si="20"/>
        <v>1</v>
      </c>
      <c r="AM135" s="99">
        <f t="shared" si="19"/>
        <v>-189619</v>
      </c>
      <c r="AN135" s="99"/>
    </row>
    <row r="136" spans="34:40">
      <c r="AH136" s="99"/>
      <c r="AI136" s="99"/>
      <c r="AJ136" s="99"/>
      <c r="AK136" s="99"/>
      <c r="AL136" s="99">
        <f t="shared" si="20"/>
        <v>0</v>
      </c>
      <c r="AM136" s="99">
        <f t="shared" si="19"/>
        <v>0</v>
      </c>
      <c r="AN136" s="99"/>
    </row>
    <row r="137" spans="34:40">
      <c r="AH137" s="99"/>
      <c r="AI137" s="99"/>
      <c r="AJ137" s="99"/>
      <c r="AK137" s="99"/>
      <c r="AL137" s="99">
        <f t="shared" si="18"/>
        <v>0</v>
      </c>
      <c r="AM137" s="99">
        <f t="shared" si="19"/>
        <v>0</v>
      </c>
      <c r="AN137" s="99"/>
    </row>
    <row r="138" spans="34:40">
      <c r="AH138" s="99"/>
      <c r="AI138" s="99"/>
      <c r="AJ138" s="99"/>
      <c r="AK138" s="99"/>
      <c r="AL138" s="99"/>
      <c r="AM138" s="99"/>
      <c r="AN138" s="99"/>
    </row>
    <row r="139" spans="34:40">
      <c r="AH139" s="99"/>
      <c r="AI139" s="99"/>
      <c r="AJ139" s="95">
        <f>SUM(AJ114:AJ138)</f>
        <v>28070378</v>
      </c>
      <c r="AK139" s="99"/>
      <c r="AL139" s="99"/>
      <c r="AM139" s="99">
        <f>SUM(AM114:AM138)</f>
        <v>1800888750</v>
      </c>
      <c r="AN139" s="95">
        <f>AM139*AN100/31</f>
        <v>1161863.7096774194</v>
      </c>
    </row>
    <row r="140" spans="34:40">
      <c r="AJ140" t="s">
        <v>4062</v>
      </c>
      <c r="AM140" t="s">
        <v>284</v>
      </c>
      <c r="AN140" t="s">
        <v>943</v>
      </c>
    </row>
    <row r="142" spans="34:40">
      <c r="AI142" t="s">
        <v>4064</v>
      </c>
      <c r="AJ142" s="114">
        <f>AJ139+AN139</f>
        <v>29232241.709677421</v>
      </c>
    </row>
    <row r="143" spans="34:40">
      <c r="AI143" t="s">
        <v>4067</v>
      </c>
      <c r="AJ143" s="114">
        <f>SUM(N20:N30)</f>
        <v>27209154</v>
      </c>
    </row>
    <row r="144" spans="34:40">
      <c r="AI144" t="s">
        <v>4139</v>
      </c>
      <c r="AJ144" s="114">
        <f>AJ143-AJ139</f>
        <v>-861224</v>
      </c>
    </row>
    <row r="145" spans="35:36">
      <c r="AI145" t="s">
        <v>943</v>
      </c>
      <c r="AJ145" s="114">
        <f>AN139</f>
        <v>1161863.7096774194</v>
      </c>
    </row>
    <row r="146" spans="35:36">
      <c r="AI146" t="s">
        <v>4068</v>
      </c>
      <c r="AJ146" s="114">
        <f>AJ144-AJ145</f>
        <v>-2023087.7096774194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:P29 S29 P22 S67 U85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4286</v>
      </c>
      <c r="D1" s="99" t="s">
        <v>4287</v>
      </c>
      <c r="E1" s="99" t="s">
        <v>4288</v>
      </c>
      <c r="F1" s="99" t="s">
        <v>4289</v>
      </c>
      <c r="G1" s="74" t="s">
        <v>4290</v>
      </c>
      <c r="H1" s="74" t="s">
        <v>4470</v>
      </c>
      <c r="I1" s="74" t="s">
        <v>4313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4291</v>
      </c>
      <c r="G27" s="99" t="s">
        <v>4292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4269</v>
      </c>
      <c r="B17" s="18">
        <v>-190000</v>
      </c>
      <c r="C17" s="18">
        <v>0</v>
      </c>
      <c r="D17" s="113">
        <f t="shared" si="0"/>
        <v>-190000</v>
      </c>
      <c r="E17" s="20" t="s">
        <v>4270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4299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4300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70"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4299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4318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4324</v>
      </c>
      <c r="B4" s="18">
        <v>-3200000</v>
      </c>
      <c r="C4" s="18">
        <v>0</v>
      </c>
      <c r="D4" s="113">
        <f t="shared" si="0"/>
        <v>-3200000</v>
      </c>
      <c r="E4" s="99" t="s">
        <v>4336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4324</v>
      </c>
      <c r="B5" s="18">
        <v>2400000</v>
      </c>
      <c r="C5" s="18">
        <v>0</v>
      </c>
      <c r="D5" s="113">
        <f t="shared" si="0"/>
        <v>2400000</v>
      </c>
      <c r="E5" s="20" t="s">
        <v>4339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4347</v>
      </c>
      <c r="B6" s="18">
        <v>-2000700</v>
      </c>
      <c r="C6" s="18">
        <v>0</v>
      </c>
      <c r="D6" s="113">
        <f t="shared" si="0"/>
        <v>-2000700</v>
      </c>
      <c r="E6" s="19" t="s">
        <v>4348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4347</v>
      </c>
      <c r="B7" s="18">
        <v>-200000</v>
      </c>
      <c r="C7" s="18">
        <v>0</v>
      </c>
      <c r="D7" s="113">
        <f t="shared" si="0"/>
        <v>-200000</v>
      </c>
      <c r="E7" s="19" t="s">
        <v>4349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4347</v>
      </c>
      <c r="B8" s="18">
        <v>-1900000</v>
      </c>
      <c r="C8" s="18">
        <v>0</v>
      </c>
      <c r="D8" s="113">
        <f t="shared" si="0"/>
        <v>-1900000</v>
      </c>
      <c r="E8" s="19" t="s">
        <v>4350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4354</v>
      </c>
      <c r="B9" s="18">
        <v>-50000</v>
      </c>
      <c r="C9" s="18">
        <v>0</v>
      </c>
      <c r="D9" s="113">
        <f t="shared" si="0"/>
        <v>-50000</v>
      </c>
      <c r="E9" s="21" t="s">
        <v>4355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4367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4367</v>
      </c>
      <c r="B11" s="18">
        <v>-3000900</v>
      </c>
      <c r="C11" s="18">
        <v>0</v>
      </c>
      <c r="D11" s="113">
        <f t="shared" si="0"/>
        <v>-3000900</v>
      </c>
      <c r="E11" s="19" t="s">
        <v>4375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4368</v>
      </c>
      <c r="B12" s="18">
        <v>-3000900</v>
      </c>
      <c r="C12" s="18">
        <v>0</v>
      </c>
      <c r="D12" s="113">
        <f t="shared" si="0"/>
        <v>-3000900</v>
      </c>
      <c r="E12" s="20" t="s">
        <v>4375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4368</v>
      </c>
      <c r="B13" s="18">
        <v>-555000</v>
      </c>
      <c r="C13" s="18">
        <v>0</v>
      </c>
      <c r="D13" s="113">
        <f t="shared" si="0"/>
        <v>-555000</v>
      </c>
      <c r="E13" s="20" t="s">
        <v>4270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4387</v>
      </c>
      <c r="B14" s="18">
        <v>-138360</v>
      </c>
      <c r="C14" s="18">
        <v>0</v>
      </c>
      <c r="D14" s="113">
        <f t="shared" si="0"/>
        <v>-138360</v>
      </c>
      <c r="E14" s="20" t="s">
        <v>4388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4390</v>
      </c>
      <c r="B15" s="18">
        <v>-3000900</v>
      </c>
      <c r="C15" s="18">
        <v>0</v>
      </c>
      <c r="D15" s="117">
        <f t="shared" si="0"/>
        <v>-3000900</v>
      </c>
      <c r="E15" s="20" t="s">
        <v>4375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4397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4416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4427</v>
      </c>
      <c r="B18" s="18">
        <v>-4098523</v>
      </c>
      <c r="C18" s="18">
        <v>0</v>
      </c>
      <c r="D18" s="113">
        <f t="shared" si="0"/>
        <v>-4098523</v>
      </c>
      <c r="E18" s="20" t="s">
        <v>4426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4427</v>
      </c>
      <c r="B19" s="18">
        <v>-33225</v>
      </c>
      <c r="C19" s="18">
        <v>0</v>
      </c>
      <c r="D19" s="113">
        <f t="shared" si="0"/>
        <v>-33225</v>
      </c>
      <c r="E19" s="20" t="s">
        <v>4270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4427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4423</v>
      </c>
      <c r="B21" s="18">
        <v>-7500</v>
      </c>
      <c r="C21" s="18">
        <v>0</v>
      </c>
      <c r="D21" s="113">
        <f t="shared" si="0"/>
        <v>-7500</v>
      </c>
      <c r="E21" s="19" t="s">
        <v>4424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4471</v>
      </c>
      <c r="B22" s="18">
        <v>7964</v>
      </c>
      <c r="C22" s="18">
        <v>65497</v>
      </c>
      <c r="D22" s="113">
        <f t="shared" si="0"/>
        <v>-57533</v>
      </c>
      <c r="E22" s="19" t="s">
        <v>4472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4302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4301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4311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4320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4321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4328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4340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4356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4351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4360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4371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4372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4371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4381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4382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4386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4391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4396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4399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4400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4401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4402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4404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4402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4406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4408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4409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4410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4411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4412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4415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4417</v>
      </c>
    </row>
    <row r="82" spans="4:5">
      <c r="D82" s="114">
        <v>-142143</v>
      </c>
      <c r="E82" s="54" t="s">
        <v>4421</v>
      </c>
    </row>
    <row r="83" spans="4:5">
      <c r="D83" s="114">
        <v>-128352</v>
      </c>
      <c r="E83" s="54" t="s">
        <v>4420</v>
      </c>
    </row>
    <row r="84" spans="4:5">
      <c r="D84" s="114">
        <v>-6035000</v>
      </c>
      <c r="E84" s="54" t="s">
        <v>4430</v>
      </c>
    </row>
    <row r="85" spans="4:5">
      <c r="D85" s="114">
        <v>-55957</v>
      </c>
      <c r="E85" s="54" t="s">
        <v>4429</v>
      </c>
    </row>
    <row r="86" spans="4:5">
      <c r="D86" s="114">
        <v>7500</v>
      </c>
      <c r="E86" s="54" t="s">
        <v>4428</v>
      </c>
    </row>
    <row r="87" spans="4:5">
      <c r="D87" s="114">
        <v>1700000</v>
      </c>
      <c r="E87" s="54" t="s">
        <v>4431</v>
      </c>
    </row>
    <row r="88" spans="4:5">
      <c r="D88" s="114">
        <v>129648</v>
      </c>
      <c r="E88" s="54" t="s">
        <v>4432</v>
      </c>
    </row>
    <row r="89" spans="4:5">
      <c r="D89" s="114">
        <v>1000000</v>
      </c>
      <c r="E89" s="54" t="s">
        <v>4437</v>
      </c>
    </row>
    <row r="90" spans="4:5">
      <c r="D90" s="114">
        <v>-53003</v>
      </c>
      <c r="E90" s="54" t="s">
        <v>4438</v>
      </c>
    </row>
    <row r="91" spans="4:5">
      <c r="D91" s="114">
        <v>-23690</v>
      </c>
      <c r="E91" s="54" t="s">
        <v>4438</v>
      </c>
    </row>
    <row r="92" spans="4:5">
      <c r="D92" s="114">
        <v>-216910</v>
      </c>
      <c r="E92" s="54" t="s">
        <v>4440</v>
      </c>
    </row>
    <row r="93" spans="4:5">
      <c r="D93" s="114">
        <v>-30304</v>
      </c>
      <c r="E93" s="54" t="s">
        <v>4444</v>
      </c>
    </row>
    <row r="94" spans="4:5">
      <c r="D94" s="114">
        <v>-10067</v>
      </c>
      <c r="E94" s="54" t="s">
        <v>4445</v>
      </c>
    </row>
    <row r="95" spans="4:5">
      <c r="D95" s="114">
        <v>-16248</v>
      </c>
      <c r="E95" s="54" t="s">
        <v>4447</v>
      </c>
    </row>
    <row r="96" spans="4:5">
      <c r="D96" s="114">
        <v>-87695</v>
      </c>
      <c r="E96" s="54" t="s">
        <v>4450</v>
      </c>
    </row>
    <row r="97" spans="4:7">
      <c r="D97" s="114">
        <v>-29231</v>
      </c>
      <c r="E97" s="54" t="s">
        <v>4451</v>
      </c>
    </row>
    <row r="98" spans="4:7">
      <c r="D98" s="114">
        <v>1000000</v>
      </c>
      <c r="E98" s="54" t="s">
        <v>4453</v>
      </c>
    </row>
    <row r="99" spans="4:7">
      <c r="D99" s="114">
        <v>-35250</v>
      </c>
      <c r="E99" s="54" t="s">
        <v>4454</v>
      </c>
    </row>
    <row r="100" spans="4:7">
      <c r="D100" s="114">
        <v>-57477</v>
      </c>
      <c r="E100" s="54" t="s">
        <v>4455</v>
      </c>
    </row>
    <row r="101" spans="4:7">
      <c r="D101" s="114">
        <v>-13565</v>
      </c>
      <c r="E101" s="54" t="s">
        <v>4456</v>
      </c>
    </row>
    <row r="102" spans="4:7">
      <c r="D102" s="114">
        <v>-9429</v>
      </c>
      <c r="E102" s="54" t="s">
        <v>4461</v>
      </c>
    </row>
    <row r="103" spans="4:7">
      <c r="D103" s="114">
        <v>-600000</v>
      </c>
      <c r="E103" s="54" t="s">
        <v>4463</v>
      </c>
    </row>
    <row r="104" spans="4:7">
      <c r="D104" s="114">
        <v>335</v>
      </c>
      <c r="E104" s="54" t="s">
        <v>4466</v>
      </c>
    </row>
    <row r="105" spans="4:7">
      <c r="D105" s="114">
        <v>31026</v>
      </c>
      <c r="E105" s="54" t="s">
        <v>4467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991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97098.721940649513</v>
      </c>
      <c r="C3" s="188">
        <f t="shared" si="0"/>
        <v>97557.073321153264</v>
      </c>
      <c r="D3" s="188">
        <f t="shared" ref="D3:D38" si="5">$S3/(1+($D$1-$O3+$P3)/36500)^$N3</f>
        <v>97614.522705318159</v>
      </c>
      <c r="E3" s="188">
        <f t="shared" ref="E3:E38" si="6">$S3/(1+($E$1-$O3+$P3)/36500)^$N3</f>
        <v>97672.00670749729</v>
      </c>
      <c r="F3" s="188">
        <f t="shared" ref="F3:F38" si="7">$S3/(1+($F$1-$O3+$P3)/36500)^$N3</f>
        <v>97729.525349026546</v>
      </c>
      <c r="G3" s="188">
        <f t="shared" ref="G3:G38" si="8">$S3/(1+($G$1-$O3+$P3)/36500)^$N3</f>
        <v>97787.078651252508</v>
      </c>
      <c r="H3" s="188">
        <f t="shared" ref="H3:H38" si="9">$S3/(1+($H$1-$O3+$P3)/36500)^$N3</f>
        <v>97844.666635538088</v>
      </c>
      <c r="I3" s="188">
        <f t="shared" ref="I3:I38" si="10">$S3/(1+($I$1-$O3+$P3)/36500)^$N3</f>
        <v>97902.289323257239</v>
      </c>
      <c r="J3" s="188">
        <f t="shared" ref="J3:J38" si="11">$S3/(1+($J$1-$O3+$P3)/36500)^$N3</f>
        <v>97959.946735798527</v>
      </c>
      <c r="K3" s="188">
        <f t="shared" ref="K3:K38" si="12">$S3/(1+($K$1-$O3+$P3)/36500)^$N3</f>
        <v>98017.63889456552</v>
      </c>
      <c r="L3" s="188">
        <f t="shared" si="1"/>
        <v>97672.00670749729</v>
      </c>
      <c r="M3" s="187" t="s">
        <v>4234</v>
      </c>
      <c r="N3" s="187">
        <f>272-$AD$19</f>
        <v>43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992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994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993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84846.428120270313</v>
      </c>
      <c r="C7" s="188">
        <f t="shared" si="0"/>
        <v>87106.168413409643</v>
      </c>
      <c r="D7" s="188">
        <f t="shared" si="5"/>
        <v>87392.852883421438</v>
      </c>
      <c r="E7" s="188">
        <f t="shared" si="6"/>
        <v>87680.484835890209</v>
      </c>
      <c r="F7" s="188">
        <f t="shared" si="7"/>
        <v>87969.067415256388</v>
      </c>
      <c r="G7" s="188">
        <f t="shared" si="8"/>
        <v>88258.603776425429</v>
      </c>
      <c r="H7" s="188">
        <f t="shared" si="9"/>
        <v>88549.097084830384</v>
      </c>
      <c r="I7" s="188">
        <f t="shared" si="10"/>
        <v>88840.550516442469</v>
      </c>
      <c r="J7" s="188">
        <f t="shared" si="11"/>
        <v>89132.967257821831</v>
      </c>
      <c r="K7" s="188">
        <f t="shared" si="12"/>
        <v>89426.35050615661</v>
      </c>
      <c r="L7" s="188">
        <f t="shared" si="1"/>
        <v>87680.484835890209</v>
      </c>
      <c r="M7" s="187" t="s">
        <v>993</v>
      </c>
      <c r="N7" s="187">
        <f>469-$AD$19</f>
        <v>240</v>
      </c>
      <c r="O7" s="187">
        <v>0</v>
      </c>
      <c r="P7" s="187">
        <v>0</v>
      </c>
      <c r="Q7" s="187">
        <v>0</v>
      </c>
      <c r="R7" s="187">
        <f t="shared" si="2"/>
        <v>7.8688524590163933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997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4235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73181.915318684158</v>
      </c>
      <c r="C10" s="188">
        <f t="shared" si="0"/>
        <v>76929.503612245229</v>
      </c>
      <c r="D10" s="188">
        <f t="shared" si="5"/>
        <v>77411.278823630317</v>
      </c>
      <c r="E10" s="188">
        <f t="shared" si="6"/>
        <v>77896.077836591649</v>
      </c>
      <c r="F10" s="188">
        <f t="shared" si="7"/>
        <v>78383.919671440424</v>
      </c>
      <c r="G10" s="188">
        <f t="shared" si="8"/>
        <v>78874.82346836901</v>
      </c>
      <c r="H10" s="188">
        <f t="shared" si="9"/>
        <v>79368.808488254756</v>
      </c>
      <c r="I10" s="188">
        <f t="shared" si="10"/>
        <v>79865.894113380797</v>
      </c>
      <c r="J10" s="188">
        <f t="shared" si="11"/>
        <v>80366.099848229351</v>
      </c>
      <c r="K10" s="188">
        <f t="shared" si="12"/>
        <v>80869.445320260129</v>
      </c>
      <c r="L10" s="188">
        <f t="shared" si="1"/>
        <v>77896.077836591649</v>
      </c>
      <c r="M10" s="187" t="s">
        <v>998</v>
      </c>
      <c r="N10" s="187">
        <f>685-$AD$19</f>
        <v>456</v>
      </c>
      <c r="O10" s="187">
        <v>0</v>
      </c>
      <c r="P10" s="187">
        <v>0</v>
      </c>
      <c r="Q10" s="187">
        <v>0</v>
      </c>
      <c r="R10" s="187">
        <f t="shared" si="2"/>
        <v>14.950819672131148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999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999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77514.334768791377</v>
      </c>
      <c r="C13" s="188">
        <f t="shared" si="0"/>
        <v>80737.595535844011</v>
      </c>
      <c r="D13" s="188">
        <f t="shared" si="5"/>
        <v>81149.84060249904</v>
      </c>
      <c r="E13" s="188">
        <f t="shared" si="6"/>
        <v>81564.196274200891</v>
      </c>
      <c r="F13" s="188">
        <f t="shared" si="7"/>
        <v>81980.673385916467</v>
      </c>
      <c r="G13" s="188">
        <f t="shared" si="8"/>
        <v>82399.282828364332</v>
      </c>
      <c r="H13" s="188">
        <f t="shared" si="9"/>
        <v>82820.035548342305</v>
      </c>
      <c r="I13" s="188">
        <f t="shared" si="10"/>
        <v>83242.942548981431</v>
      </c>
      <c r="J13" s="188">
        <f t="shared" si="11"/>
        <v>83668.01489005897</v>
      </c>
      <c r="K13" s="188">
        <f t="shared" si="12"/>
        <v>84095.263688296138</v>
      </c>
      <c r="L13" s="188">
        <f t="shared" si="1"/>
        <v>81564.196274200891</v>
      </c>
      <c r="M13" s="187" t="s">
        <v>991</v>
      </c>
      <c r="N13" s="187">
        <f>601-$AD$19</f>
        <v>372</v>
      </c>
      <c r="O13" s="187">
        <v>0</v>
      </c>
      <c r="P13" s="187">
        <v>0</v>
      </c>
      <c r="Q13" s="187">
        <v>0</v>
      </c>
      <c r="R13" s="187">
        <f t="shared" si="2"/>
        <v>12.196721311475409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3855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3908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4212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97498.441689116444</v>
      </c>
      <c r="C17" s="188">
        <f t="shared" si="0"/>
        <v>97894.330454208728</v>
      </c>
      <c r="D17" s="188">
        <f t="shared" si="5"/>
        <v>97943.932499446819</v>
      </c>
      <c r="E17" s="188">
        <f t="shared" si="6"/>
        <v>97993.560357147391</v>
      </c>
      <c r="F17" s="188">
        <f t="shared" si="7"/>
        <v>98043.214041097846</v>
      </c>
      <c r="G17" s="188">
        <f t="shared" si="8"/>
        <v>98092.893565090722</v>
      </c>
      <c r="H17" s="188">
        <f t="shared" si="9"/>
        <v>98142.598942928496</v>
      </c>
      <c r="I17" s="188">
        <f t="shared" si="10"/>
        <v>98192.330188419393</v>
      </c>
      <c r="J17" s="188">
        <f t="shared" si="11"/>
        <v>98242.087315379904</v>
      </c>
      <c r="K17" s="188">
        <f t="shared" si="12"/>
        <v>98291.870337635555</v>
      </c>
      <c r="L17" s="188">
        <f t="shared" si="1"/>
        <v>97993.560357147391</v>
      </c>
      <c r="M17" s="187" t="s">
        <v>4236</v>
      </c>
      <c r="N17" s="187">
        <f>266-$AD$19</f>
        <v>37</v>
      </c>
      <c r="O17" s="187">
        <v>0</v>
      </c>
      <c r="P17" s="187">
        <v>0</v>
      </c>
      <c r="Q17" s="187">
        <v>0</v>
      </c>
      <c r="R17" s="187">
        <f t="shared" si="2"/>
        <v>1.2131147540983607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4237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4238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229</v>
      </c>
      <c r="AF19" s="26"/>
    </row>
    <row r="20" spans="1:32" ht="22.5" customHeight="1">
      <c r="A20" s="146" t="s">
        <v>4230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3855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65543.373031167139</v>
      </c>
      <c r="C21" s="188">
        <f>$S21/(1+($C$1-$O21+$P21)/36500)^$N21</f>
        <v>70125.462894555676</v>
      </c>
      <c r="D21" s="188">
        <f t="shared" si="5"/>
        <v>70720.339391261034</v>
      </c>
      <c r="E21" s="188">
        <f t="shared" si="6"/>
        <v>71320.270492205644</v>
      </c>
      <c r="F21" s="188">
        <f t="shared" si="7"/>
        <v>71925.299215941108</v>
      </c>
      <c r="G21" s="188">
        <f t="shared" si="8"/>
        <v>72535.468947707297</v>
      </c>
      <c r="H21" s="188">
        <f t="shared" si="9"/>
        <v>73150.823442621302</v>
      </c>
      <c r="I21" s="188">
        <f t="shared" si="10"/>
        <v>73771.406828783569</v>
      </c>
      <c r="J21" s="188">
        <f t="shared" si="11"/>
        <v>74397.263610495604</v>
      </c>
      <c r="K21" s="188">
        <f t="shared" si="12"/>
        <v>75028.438671480224</v>
      </c>
      <c r="L21" s="188">
        <f t="shared" si="1"/>
        <v>71320.270492205644</v>
      </c>
      <c r="M21" s="187" t="s">
        <v>4239</v>
      </c>
      <c r="N21" s="187">
        <f>846-$AD$19</f>
        <v>617</v>
      </c>
      <c r="O21" s="187">
        <v>0</v>
      </c>
      <c r="P21" s="187">
        <v>0</v>
      </c>
      <c r="Q21" s="187">
        <v>0</v>
      </c>
      <c r="R21" s="187">
        <f t="shared" si="2"/>
        <v>20.229508196721312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4369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1" t="s">
        <v>4370</v>
      </c>
      <c r="N22" s="191">
        <f>547-$AD$19</f>
        <v>318</v>
      </c>
      <c r="O22" s="191">
        <v>0</v>
      </c>
      <c r="P22" s="191">
        <v>0</v>
      </c>
      <c r="Q22" s="191">
        <v>0</v>
      </c>
      <c r="R22" s="191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4293</v>
      </c>
      <c r="B23" s="188">
        <f t="shared" si="14"/>
        <v>78960.656096634382</v>
      </c>
      <c r="C23" s="188">
        <f>$S23/(1+($C$1-$O23+$P23)/36500)^$N23</f>
        <v>82001.219096175962</v>
      </c>
      <c r="D23" s="188">
        <f t="shared" si="5"/>
        <v>82389.455079488122</v>
      </c>
      <c r="E23" s="188">
        <f t="shared" si="6"/>
        <v>82779.534524935065</v>
      </c>
      <c r="F23" s="188">
        <f t="shared" si="7"/>
        <v>83171.466211261708</v>
      </c>
      <c r="G23" s="188">
        <f t="shared" si="8"/>
        <v>83565.258959120532</v>
      </c>
      <c r="H23" s="188">
        <f t="shared" si="9"/>
        <v>83960.921631309786</v>
      </c>
      <c r="I23" s="188">
        <f t="shared" si="10"/>
        <v>84358.463132941659</v>
      </c>
      <c r="J23" s="188">
        <f t="shared" si="11"/>
        <v>84757.892411666151</v>
      </c>
      <c r="K23" s="188">
        <f t="shared" si="12"/>
        <v>85159.218457879892</v>
      </c>
      <c r="L23" s="188">
        <f t="shared" si="1"/>
        <v>82779.534524935065</v>
      </c>
      <c r="M23" s="187" t="s">
        <v>4294</v>
      </c>
      <c r="N23" s="187">
        <f>574-$AD$19</f>
        <v>345</v>
      </c>
      <c r="O23" s="187">
        <v>0</v>
      </c>
      <c r="P23" s="187"/>
      <c r="Q23" s="187">
        <v>0</v>
      </c>
      <c r="R23" s="187">
        <f t="shared" si="2"/>
        <v>11.311475409836065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4240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4241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76090.403341232028</v>
      </c>
      <c r="C26" s="188">
        <f t="shared" si="16"/>
        <v>86478.793364214158</v>
      </c>
      <c r="D26" s="188">
        <f t="shared" si="5"/>
        <v>87873.41738578878</v>
      </c>
      <c r="E26" s="188">
        <f t="shared" si="6"/>
        <v>89290.551761047784</v>
      </c>
      <c r="F26" s="188">
        <f t="shared" si="7"/>
        <v>90730.560140980146</v>
      </c>
      <c r="G26" s="188">
        <f t="shared" si="8"/>
        <v>92193.812056476731</v>
      </c>
      <c r="H26" s="188">
        <f t="shared" si="9"/>
        <v>93680.683013418311</v>
      </c>
      <c r="I26" s="188">
        <f t="shared" si="10"/>
        <v>95191.554589233987</v>
      </c>
      <c r="J26" s="188">
        <f t="shared" si="11"/>
        <v>96726.814531451411</v>
      </c>
      <c r="K26" s="188">
        <f t="shared" si="12"/>
        <v>98286.856857243998</v>
      </c>
      <c r="L26" s="188">
        <f t="shared" si="1"/>
        <v>89290.551761047784</v>
      </c>
      <c r="M26" s="187" t="s">
        <v>1004</v>
      </c>
      <c r="N26" s="187">
        <f>1397-$AD$19</f>
        <v>1168</v>
      </c>
      <c r="O26" s="187">
        <v>17</v>
      </c>
      <c r="P26" s="187">
        <f>$AI$2</f>
        <v>0.54</v>
      </c>
      <c r="Q26" s="187">
        <v>6</v>
      </c>
      <c r="R26" s="187">
        <f t="shared" si="2"/>
        <v>38.295081967213115</v>
      </c>
      <c r="S26" s="188">
        <v>100000</v>
      </c>
      <c r="T26" s="188">
        <v>96000</v>
      </c>
      <c r="U26" s="188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975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976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977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978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1002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979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980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981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972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974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94192.244493389342</v>
      </c>
      <c r="C37" s="188">
        <f t="shared" si="16"/>
        <v>100000</v>
      </c>
      <c r="D37" s="188">
        <f t="shared" si="5"/>
        <v>100750.75446372948</v>
      </c>
      <c r="E37" s="188">
        <f t="shared" si="6"/>
        <v>101507.15565063358</v>
      </c>
      <c r="F37" s="188">
        <f t="shared" si="7"/>
        <v>102269.24611020349</v>
      </c>
      <c r="G37" s="188">
        <f t="shared" si="8"/>
        <v>103037.06871311093</v>
      </c>
      <c r="H37" s="188">
        <f t="shared" si="9"/>
        <v>103810.66665371189</v>
      </c>
      <c r="I37" s="188">
        <f t="shared" si="10"/>
        <v>104590.08345241382</v>
      </c>
      <c r="J37" s="188">
        <f t="shared" si="11"/>
        <v>105375.3629581948</v>
      </c>
      <c r="K37" s="188">
        <f t="shared" si="12"/>
        <v>106166.54935105896</v>
      </c>
      <c r="L37" s="188">
        <f t="shared" si="1"/>
        <v>101507.15565063358</v>
      </c>
      <c r="M37" s="187" t="s">
        <v>996</v>
      </c>
      <c r="N37" s="187">
        <f>775-$AD$19</f>
        <v>546</v>
      </c>
      <c r="O37" s="187">
        <v>21</v>
      </c>
      <c r="P37" s="187">
        <v>0</v>
      </c>
      <c r="Q37" s="187">
        <v>1</v>
      </c>
      <c r="R37" s="187">
        <f t="shared" si="2"/>
        <v>17.901639344262296</v>
      </c>
      <c r="S37" s="188">
        <v>100000</v>
      </c>
      <c r="T37" s="188">
        <v>104000</v>
      </c>
      <c r="U37" s="188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1045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F22" sqref="F22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1213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10000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2859918.3601286169</v>
      </c>
      <c r="C8" s="99">
        <f>B2*B4*B5/(B1*B3)+B7/B6</f>
        <v>285.99183601286171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990081.63987138309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04" t="s">
        <v>1089</v>
      </c>
      <c r="R21" s="204"/>
      <c r="S21" s="204"/>
      <c r="T21" s="204"/>
      <c r="U21" s="96"/>
      <c r="V21" s="96"/>
      <c r="W21" s="96"/>
      <c r="X21" s="96"/>
      <c r="Y21" s="96"/>
      <c r="Z21" s="96"/>
    </row>
    <row r="22" spans="5:35">
      <c r="O22" s="99"/>
      <c r="P22" s="99"/>
      <c r="Q22" s="204"/>
      <c r="R22" s="204"/>
      <c r="S22" s="204"/>
      <c r="T22" s="204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05" t="s">
        <v>1090</v>
      </c>
      <c r="R23" s="206" t="s">
        <v>1091</v>
      </c>
      <c r="S23" s="205" t="s">
        <v>1092</v>
      </c>
      <c r="T23" s="207" t="s">
        <v>1093</v>
      </c>
      <c r="AD23" t="s">
        <v>25</v>
      </c>
    </row>
    <row r="24" spans="5:35">
      <c r="O24" s="99"/>
      <c r="P24" s="99"/>
      <c r="Q24" s="205"/>
      <c r="R24" s="206"/>
      <c r="S24" s="205"/>
      <c r="T24" s="207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3858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3859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3860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3861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3862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3863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3864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3865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3866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3867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3868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3869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3870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3871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3872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3873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3874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3875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3876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3877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3878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2018-11-30T13:31:14Z</dcterms:modified>
</cp:coreProperties>
</file>