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M74" i="18" l="1"/>
  <c r="Q77" i="18"/>
  <c r="V75" i="18"/>
  <c r="X75" i="18" s="1"/>
  <c r="S75" i="18"/>
  <c r="W75" i="18" l="1"/>
  <c r="D283" i="20"/>
  <c r="F15" i="52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N46" i="18"/>
  <c r="N45" i="18"/>
  <c r="N47" i="18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82" i="18"/>
  <c r="M12" i="52" l="1"/>
  <c r="L12" i="52"/>
  <c r="D281" i="20" l="1"/>
  <c r="D280" i="20" l="1"/>
  <c r="K21" i="52" l="1"/>
  <c r="B35" i="52"/>
  <c r="D279" i="20"/>
  <c r="U113" i="18" l="1"/>
  <c r="W110" i="18"/>
  <c r="D278" i="20"/>
  <c r="W89" i="18" l="1"/>
  <c r="W88" i="18"/>
  <c r="W87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AJ116" i="18"/>
  <c r="F260" i="15" l="1"/>
  <c r="S82" i="18"/>
  <c r="AR14" i="18"/>
  <c r="AJ160" i="18"/>
  <c r="S81" i="18" l="1"/>
  <c r="D276" i="20"/>
  <c r="K284" i="20"/>
  <c r="J284" i="20"/>
  <c r="I284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G284" i="20"/>
  <c r="G283" i="20" s="1"/>
  <c r="G282" i="20" s="1"/>
  <c r="G281" i="20" s="1"/>
  <c r="G280" i="20" s="1"/>
  <c r="G279" i="20" s="1"/>
  <c r="G278" i="20" s="1"/>
  <c r="G277" i="20" s="1"/>
  <c r="G276" i="20" s="1"/>
  <c r="G275" i="20" s="1"/>
  <c r="G274" i="20" s="1"/>
  <c r="G273" i="20" s="1"/>
  <c r="G272" i="20" s="1"/>
  <c r="I272" i="20" s="1"/>
  <c r="D275" i="20"/>
  <c r="D274" i="20"/>
  <c r="D273" i="20"/>
  <c r="N44" i="18"/>
  <c r="J283" i="20" l="1"/>
  <c r="K283" i="20"/>
  <c r="I283" i="20"/>
  <c r="I282" i="20"/>
  <c r="K282" i="20"/>
  <c r="J282" i="20"/>
  <c r="J281" i="20"/>
  <c r="K281" i="20"/>
  <c r="I281" i="20"/>
  <c r="I280" i="20"/>
  <c r="J280" i="20"/>
  <c r="K280" i="20"/>
  <c r="J279" i="20"/>
  <c r="J278" i="20"/>
  <c r="K279" i="20"/>
  <c r="I279" i="20"/>
  <c r="I277" i="20"/>
  <c r="I275" i="20"/>
  <c r="J276" i="20"/>
  <c r="I278" i="20"/>
  <c r="K278" i="20"/>
  <c r="K277" i="20"/>
  <c r="J277" i="20"/>
  <c r="I274" i="20"/>
  <c r="J274" i="20"/>
  <c r="K273" i="20"/>
  <c r="J272" i="20"/>
  <c r="K272" i="20"/>
  <c r="K275" i="20"/>
  <c r="J273" i="20"/>
  <c r="J275" i="20"/>
  <c r="K274" i="20"/>
  <c r="I276" i="20"/>
  <c r="K276" i="20"/>
  <c r="I273" i="20"/>
  <c r="D272" i="20" l="1"/>
  <c r="D271" i="20" l="1"/>
  <c r="AL115" i="18"/>
  <c r="AL114" i="18" l="1"/>
  <c r="AM115" i="18"/>
  <c r="D270" i="20"/>
  <c r="N48" i="18"/>
  <c r="AL113" i="18" l="1"/>
  <c r="AM114" i="18"/>
  <c r="B286" i="20"/>
  <c r="H270" i="20"/>
  <c r="H271" i="20"/>
  <c r="H272" i="20"/>
  <c r="D269" i="20"/>
  <c r="H269" i="20"/>
  <c r="AL112" i="18" l="1"/>
  <c r="AM113" i="18"/>
  <c r="S53" i="18"/>
  <c r="AL111" i="18" l="1"/>
  <c r="AM112" i="18"/>
  <c r="D57" i="54"/>
  <c r="AL110" i="18" l="1"/>
  <c r="AM111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09" i="18" l="1"/>
  <c r="AM110" i="18"/>
  <c r="H33" i="54"/>
  <c r="G2" i="54"/>
  <c r="G33" i="54" s="1"/>
  <c r="D2" i="54"/>
  <c r="R18" i="52"/>
  <c r="K20" i="52"/>
  <c r="K28" i="52" s="1"/>
  <c r="K19" i="52"/>
  <c r="K18" i="52"/>
  <c r="AL108" i="18" l="1"/>
  <c r="AM109" i="18"/>
  <c r="H38" i="54"/>
  <c r="I2" i="54"/>
  <c r="I33" i="54" s="1"/>
  <c r="I38" i="54" s="1"/>
  <c r="D32" i="54"/>
  <c r="N101" i="18"/>
  <c r="N102" i="18"/>
  <c r="N103" i="18"/>
  <c r="N104" i="18"/>
  <c r="N105" i="18"/>
  <c r="N106" i="18"/>
  <c r="N107" i="18"/>
  <c r="N108" i="18"/>
  <c r="N100" i="18"/>
  <c r="AL107" i="18" l="1"/>
  <c r="AM108" i="18"/>
  <c r="C286" i="20"/>
  <c r="M13" i="52"/>
  <c r="M6" i="52"/>
  <c r="N4" i="52"/>
  <c r="N3" i="52"/>
  <c r="N2" i="52"/>
  <c r="AL106" i="18" l="1"/>
  <c r="AM107" i="18"/>
  <c r="N6" i="52"/>
  <c r="M8" i="52" s="1"/>
  <c r="AL105" i="18" l="1"/>
  <c r="AM106" i="18"/>
  <c r="D266" i="20"/>
  <c r="H266" i="20"/>
  <c r="G30" i="51"/>
  <c r="H30" i="51"/>
  <c r="D30" i="51"/>
  <c r="I30" i="51" s="1"/>
  <c r="AL104" i="18" l="1"/>
  <c r="AM105" i="18"/>
  <c r="D265" i="20"/>
  <c r="H265" i="20"/>
  <c r="G29" i="51"/>
  <c r="H29" i="51"/>
  <c r="D29" i="51"/>
  <c r="I29" i="51" s="1"/>
  <c r="AL103" i="18" l="1"/>
  <c r="AM104" i="18"/>
  <c r="W109" i="18"/>
  <c r="N33" i="18"/>
  <c r="G28" i="51"/>
  <c r="H28" i="51"/>
  <c r="D28" i="51"/>
  <c r="I28" i="51" s="1"/>
  <c r="D264" i="20"/>
  <c r="H264" i="20"/>
  <c r="AL102" i="18" l="1"/>
  <c r="AM103" i="18"/>
  <c r="G27" i="51"/>
  <c r="H27" i="51"/>
  <c r="D27" i="51"/>
  <c r="I27" i="51" s="1"/>
  <c r="G26" i="51"/>
  <c r="H26" i="51"/>
  <c r="D26" i="51"/>
  <c r="I26" i="51" s="1"/>
  <c r="AL101" i="18" l="1"/>
  <c r="AM102" i="18"/>
  <c r="W108" i="18"/>
  <c r="AL100" i="18" l="1"/>
  <c r="AM100" i="18" s="1"/>
  <c r="AM101" i="18"/>
  <c r="L31" i="18" l="1"/>
  <c r="W102" i="18" l="1"/>
  <c r="W103" i="18"/>
  <c r="W104" i="18"/>
  <c r="W105" i="18"/>
  <c r="W106" i="18"/>
  <c r="W107" i="18"/>
  <c r="W112" i="18"/>
  <c r="W101" i="18"/>
  <c r="N49" i="18" l="1"/>
  <c r="R137" i="18" l="1"/>
  <c r="R146" i="18"/>
  <c r="R124" i="18"/>
  <c r="T129" i="18" l="1"/>
  <c r="T85" i="18"/>
  <c r="S38" i="18"/>
  <c r="S39" i="18" s="1"/>
  <c r="S40" i="18" s="1"/>
  <c r="R106" i="18"/>
  <c r="R105" i="18"/>
  <c r="R104" i="18"/>
  <c r="D57" i="51"/>
  <c r="S41" i="18" l="1"/>
  <c r="S42" i="18" s="1"/>
  <c r="P26" i="18" l="1"/>
  <c r="N26" i="18" s="1"/>
  <c r="R103" i="18" s="1"/>
  <c r="Q44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3" i="18" l="1"/>
  <c r="D108" i="50" l="1"/>
  <c r="P23" i="18" l="1"/>
  <c r="N42" i="18"/>
  <c r="C8" i="36" l="1"/>
  <c r="N39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58" i="18"/>
  <c r="AL96" i="18" l="1"/>
  <c r="AL95" i="18" s="1"/>
  <c r="AL157" i="18"/>
  <c r="AM158" i="18"/>
  <c r="S22" i="18"/>
  <c r="S23" i="18" s="1"/>
  <c r="S24" i="18" s="1"/>
  <c r="S25" i="18" s="1"/>
  <c r="P22" i="18"/>
  <c r="N22" i="18" s="1"/>
  <c r="N41" i="18"/>
  <c r="AM96" i="18" l="1"/>
  <c r="AL156" i="18"/>
  <c r="AM157" i="18"/>
  <c r="AL94" i="18"/>
  <c r="AM95" i="18"/>
  <c r="AL155" i="18" l="1"/>
  <c r="AM156" i="18"/>
  <c r="AL93" i="18"/>
  <c r="AM94" i="18"/>
  <c r="AL154" i="18" l="1"/>
  <c r="AM155" i="18"/>
  <c r="AL92" i="18"/>
  <c r="AM93" i="18"/>
  <c r="S26" i="18"/>
  <c r="S27" i="18" s="1"/>
  <c r="S28" i="18" s="1"/>
  <c r="S29" i="18" s="1"/>
  <c r="N74" i="18"/>
  <c r="AL153" i="18" l="1"/>
  <c r="AM154" i="18"/>
  <c r="S30" i="18"/>
  <c r="S31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53" i="18" l="1"/>
  <c r="AL152" i="18"/>
  <c r="AL90" i="18"/>
  <c r="AM91" i="18"/>
  <c r="D73" i="48"/>
  <c r="N23" i="18"/>
  <c r="AL151" i="18" l="1"/>
  <c r="AM152" i="18"/>
  <c r="AM90" i="18"/>
  <c r="AL89" i="18"/>
  <c r="AL150" i="18" l="1"/>
  <c r="AM151" i="18"/>
  <c r="AL88" i="18"/>
  <c r="AM89" i="18"/>
  <c r="P54" i="18"/>
  <c r="AL149" i="18" l="1"/>
  <c r="AM150" i="18"/>
  <c r="AL87" i="18"/>
  <c r="AM88" i="18"/>
  <c r="AL148" i="18" l="1"/>
  <c r="AM149" i="18"/>
  <c r="AM87" i="18"/>
  <c r="AL86" i="18"/>
  <c r="N23" i="33"/>
  <c r="D23" i="33" s="1"/>
  <c r="AL147" i="18" l="1"/>
  <c r="AM148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46" i="18" l="1"/>
  <c r="AM147" i="18"/>
  <c r="AL84" i="18"/>
  <c r="AM85" i="18"/>
  <c r="P21" i="18"/>
  <c r="N21" i="18" s="1"/>
  <c r="R102" i="18" s="1"/>
  <c r="AJ164" i="18" l="1"/>
  <c r="AJ165" i="18" s="1"/>
  <c r="AL145" i="18"/>
  <c r="AM146" i="18"/>
  <c r="Q33" i="18"/>
  <c r="AM84" i="18"/>
  <c r="AL83" i="18"/>
  <c r="AL144" i="18" l="1"/>
  <c r="AM145" i="18"/>
  <c r="AM83" i="18"/>
  <c r="AL82" i="18"/>
  <c r="S54" i="18"/>
  <c r="S55" i="18" s="1"/>
  <c r="AM144" i="18" l="1"/>
  <c r="AL143" i="18"/>
  <c r="AL81" i="18"/>
  <c r="AM82" i="18"/>
  <c r="AL142" i="18" l="1"/>
  <c r="AM143" i="18"/>
  <c r="AL80" i="18"/>
  <c r="AM80" i="18" s="1"/>
  <c r="AM81" i="18"/>
  <c r="AM142" i="18" l="1"/>
  <c r="AL141" i="18"/>
  <c r="AM141" i="18" l="1"/>
  <c r="AL140" i="18"/>
  <c r="B8" i="36"/>
  <c r="AL139" i="18" l="1"/>
  <c r="AM140" i="18"/>
  <c r="B10" i="36"/>
  <c r="AL138" i="18" l="1"/>
  <c r="AM139" i="18"/>
  <c r="S56" i="18"/>
  <c r="S57" i="18" l="1"/>
  <c r="S58" i="18" s="1"/>
  <c r="S59" i="18" s="1"/>
  <c r="S60" i="18" s="1"/>
  <c r="S61" i="18" s="1"/>
  <c r="S62" i="18" s="1"/>
  <c r="AL137" i="18"/>
  <c r="AM138" i="18"/>
  <c r="N25" i="33"/>
  <c r="N24" i="33"/>
  <c r="N21" i="33"/>
  <c r="N20" i="33"/>
  <c r="N19" i="33"/>
  <c r="N18" i="33"/>
  <c r="L18" i="33" s="1"/>
  <c r="N17" i="33"/>
  <c r="N9" i="33"/>
  <c r="N3" i="33"/>
  <c r="N4" i="33"/>
  <c r="AM137" i="18" l="1"/>
  <c r="AL136" i="18"/>
  <c r="S63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36" i="18" l="1"/>
  <c r="AL135" i="18"/>
  <c r="S64" i="18"/>
  <c r="AC15" i="33"/>
  <c r="AM135" i="18" l="1"/>
  <c r="AL134" i="18"/>
  <c r="S65" i="18"/>
  <c r="S66" i="18" s="1"/>
  <c r="S67" i="18" s="1"/>
  <c r="S68" i="18" s="1"/>
  <c r="N16" i="33"/>
  <c r="AM134" i="18" l="1"/>
  <c r="AL133" i="18"/>
  <c r="AM133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60" i="18" l="1"/>
  <c r="AN160" i="18" s="1"/>
  <c r="AJ16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85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85" i="20"/>
  <c r="S69" i="18" l="1"/>
  <c r="S70" i="18" s="1"/>
  <c r="AJ166" i="18"/>
  <c r="AJ167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8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85" i="20" l="1"/>
  <c r="J285" i="20"/>
  <c r="K285" i="20"/>
  <c r="S71" i="18" l="1"/>
  <c r="S72" i="18" s="1"/>
  <c r="S73" i="18" s="1"/>
  <c r="S74" i="18" s="1"/>
  <c r="AL79" i="18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71" i="20" l="1"/>
  <c r="AL77" i="18"/>
  <c r="AM78" i="18"/>
  <c r="N54" i="18"/>
  <c r="G270" i="20" l="1"/>
  <c r="I271" i="20"/>
  <c r="J271" i="20"/>
  <c r="K271" i="20"/>
  <c r="AL76" i="18"/>
  <c r="AM77" i="18"/>
  <c r="G269" i="20" l="1"/>
  <c r="I270" i="20"/>
  <c r="J270" i="20"/>
  <c r="K270" i="20"/>
  <c r="AL75" i="18"/>
  <c r="AM76" i="18"/>
  <c r="N40" i="18"/>
  <c r="R101" i="18" s="1"/>
  <c r="R110" i="18" l="1"/>
  <c r="T116" i="18" s="1"/>
  <c r="AJ122" i="18"/>
  <c r="AJ123" i="18" s="1"/>
  <c r="G268" i="20"/>
  <c r="I269" i="20"/>
  <c r="K269" i="20"/>
  <c r="J269" i="20"/>
  <c r="AL74" i="18"/>
  <c r="AM75" i="18"/>
  <c r="V119" i="18" l="1"/>
  <c r="S89" i="18"/>
  <c r="G267" i="20"/>
  <c r="K268" i="20"/>
  <c r="J268" i="20"/>
  <c r="I268" i="20"/>
  <c r="U129" i="18"/>
  <c r="AL73" i="18"/>
  <c r="AM74" i="18"/>
  <c r="N80" i="18"/>
  <c r="V74" i="18" s="1"/>
  <c r="W74" i="18" l="1"/>
  <c r="X74" i="18"/>
  <c r="V70" i="18"/>
  <c r="X70" i="18" s="1"/>
  <c r="V73" i="18"/>
  <c r="V71" i="18"/>
  <c r="V76" i="18"/>
  <c r="V72" i="18"/>
  <c r="G266" i="20"/>
  <c r="I267" i="20"/>
  <c r="J267" i="20"/>
  <c r="K267" i="20"/>
  <c r="V68" i="18"/>
  <c r="V69" i="18"/>
  <c r="V67" i="18"/>
  <c r="V31" i="18"/>
  <c r="V30" i="18"/>
  <c r="W30" i="18" s="1"/>
  <c r="V42" i="18"/>
  <c r="V29" i="18"/>
  <c r="X29" i="18" s="1"/>
  <c r="V41" i="18"/>
  <c r="V43" i="18"/>
  <c r="V40" i="18"/>
  <c r="V129" i="18"/>
  <c r="V66" i="18"/>
  <c r="V65" i="18"/>
  <c r="V39" i="18"/>
  <c r="V63" i="18"/>
  <c r="V64" i="18"/>
  <c r="V28" i="18"/>
  <c r="V62" i="18"/>
  <c r="V27" i="18"/>
  <c r="V25" i="18"/>
  <c r="V26" i="18"/>
  <c r="V61" i="18"/>
  <c r="V60" i="18"/>
  <c r="V59" i="18"/>
  <c r="V24" i="18"/>
  <c r="V58" i="18"/>
  <c r="V57" i="18"/>
  <c r="V55" i="18"/>
  <c r="V56" i="18"/>
  <c r="V21" i="18"/>
  <c r="V23" i="18"/>
  <c r="V52" i="18"/>
  <c r="V20" i="18"/>
  <c r="V22" i="18"/>
  <c r="V53" i="18"/>
  <c r="V54" i="18"/>
  <c r="AL72" i="18"/>
  <c r="AM73" i="18"/>
  <c r="W70" i="18" l="1"/>
  <c r="W73" i="18"/>
  <c r="X73" i="18"/>
  <c r="X72" i="18"/>
  <c r="W72" i="18"/>
  <c r="W76" i="18"/>
  <c r="X76" i="18"/>
  <c r="W71" i="18"/>
  <c r="X71" i="18"/>
  <c r="G265" i="20"/>
  <c r="I266" i="20"/>
  <c r="J266" i="20"/>
  <c r="K266" i="20"/>
  <c r="X69" i="18"/>
  <c r="W69" i="18"/>
  <c r="W68" i="18"/>
  <c r="X68" i="18"/>
  <c r="W67" i="18"/>
  <c r="X67" i="18"/>
  <c r="W31" i="18"/>
  <c r="X31" i="18"/>
  <c r="X30" i="18"/>
  <c r="W42" i="18"/>
  <c r="X42" i="18"/>
  <c r="W29" i="18"/>
  <c r="W41" i="18"/>
  <c r="X41" i="18"/>
  <c r="W40" i="18"/>
  <c r="X40" i="18"/>
  <c r="W43" i="18"/>
  <c r="X43" i="18"/>
  <c r="S88" i="18"/>
  <c r="N57" i="18"/>
  <c r="S87" i="18"/>
  <c r="W65" i="18"/>
  <c r="X65" i="18"/>
  <c r="X66" i="18"/>
  <c r="W66" i="18"/>
  <c r="X39" i="18"/>
  <c r="W39" i="18"/>
  <c r="W22" i="18"/>
  <c r="X22" i="18"/>
  <c r="W21" i="18"/>
  <c r="X21" i="18"/>
  <c r="W57" i="18"/>
  <c r="X57" i="18"/>
  <c r="W59" i="18"/>
  <c r="X59" i="18"/>
  <c r="W62" i="18"/>
  <c r="X62" i="18"/>
  <c r="W54" i="18"/>
  <c r="X54" i="18"/>
  <c r="W60" i="18"/>
  <c r="X60" i="18"/>
  <c r="W26" i="18"/>
  <c r="X26" i="18"/>
  <c r="W28" i="18"/>
  <c r="X28" i="18"/>
  <c r="W20" i="18"/>
  <c r="X20" i="18"/>
  <c r="W56" i="18"/>
  <c r="X56" i="18"/>
  <c r="W25" i="18"/>
  <c r="X25" i="18"/>
  <c r="X63" i="18"/>
  <c r="W63" i="18"/>
  <c r="W53" i="18"/>
  <c r="X53" i="18"/>
  <c r="W52" i="18"/>
  <c r="X52" i="18"/>
  <c r="W58" i="18"/>
  <c r="X58" i="18"/>
  <c r="W23" i="18"/>
  <c r="X23" i="18"/>
  <c r="W55" i="18"/>
  <c r="X55" i="18"/>
  <c r="X24" i="18"/>
  <c r="W24" i="18"/>
  <c r="W61" i="18"/>
  <c r="X61" i="18"/>
  <c r="W27" i="18"/>
  <c r="X27" i="18"/>
  <c r="X64" i="18"/>
  <c r="W64" i="18"/>
  <c r="AL71" i="18"/>
  <c r="AM72" i="18"/>
  <c r="N29" i="18" l="1"/>
  <c r="L21" i="18" s="1"/>
  <c r="G264" i="20"/>
  <c r="J265" i="20"/>
  <c r="I265" i="20"/>
  <c r="K265" i="20"/>
  <c r="U88" i="18"/>
  <c r="V88" i="18" s="1"/>
  <c r="AL70" i="18"/>
  <c r="AM71" i="18"/>
  <c r="G263" i="20" l="1"/>
  <c r="K264" i="20"/>
  <c r="I264" i="20"/>
  <c r="J264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62" i="20" l="1"/>
  <c r="J263" i="20"/>
  <c r="K263" i="20"/>
  <c r="I263" i="20"/>
  <c r="AL68" i="18"/>
  <c r="AM69" i="18"/>
  <c r="N2" i="33"/>
  <c r="G261" i="20" l="1"/>
  <c r="I262" i="20"/>
  <c r="J262" i="20"/>
  <c r="K262" i="20"/>
  <c r="AL67" i="18"/>
  <c r="AM68" i="18"/>
  <c r="I2" i="33"/>
  <c r="E2" i="33"/>
  <c r="J2" i="33"/>
  <c r="F2" i="33"/>
  <c r="K2" i="33"/>
  <c r="G2" i="33"/>
  <c r="D2" i="33"/>
  <c r="C2" i="33"/>
  <c r="H2" i="33"/>
  <c r="D73" i="45"/>
  <c r="J261" i="20" l="1"/>
  <c r="K261" i="20"/>
  <c r="G260" i="20"/>
  <c r="I261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60" i="20" l="1"/>
  <c r="I260" i="20"/>
  <c r="G259" i="20"/>
  <c r="K260" i="20"/>
  <c r="AL65" i="18"/>
  <c r="AM66" i="18"/>
  <c r="E45" i="14"/>
  <c r="G258" i="20" l="1"/>
  <c r="K259" i="20"/>
  <c r="J259" i="20"/>
  <c r="I259" i="20"/>
  <c r="AL64" i="18"/>
  <c r="AM65" i="18"/>
  <c r="E44" i="14"/>
  <c r="G257" i="20" l="1"/>
  <c r="K258" i="20"/>
  <c r="J258" i="20"/>
  <c r="I258" i="20"/>
  <c r="AM64" i="18"/>
  <c r="AL63" i="18"/>
  <c r="E43" i="14"/>
  <c r="G43" i="14" s="1"/>
  <c r="G256" i="20" l="1"/>
  <c r="I257" i="20"/>
  <c r="K257" i="20"/>
  <c r="J257" i="20"/>
  <c r="AL62" i="18"/>
  <c r="AM63" i="18"/>
  <c r="E42" i="14"/>
  <c r="G42" i="14" s="1"/>
  <c r="G255" i="20" l="1"/>
  <c r="K256" i="20"/>
  <c r="J256" i="20"/>
  <c r="I256" i="20"/>
  <c r="AL61" i="18"/>
  <c r="AM62" i="18"/>
  <c r="E41" i="14"/>
  <c r="G41" i="14" s="1"/>
  <c r="G254" i="20" l="1"/>
  <c r="I255" i="20"/>
  <c r="J255" i="20"/>
  <c r="K255" i="20"/>
  <c r="AM61" i="18"/>
  <c r="AL60" i="18"/>
  <c r="E40" i="14"/>
  <c r="G40" i="14" s="1"/>
  <c r="K254" i="20" l="1"/>
  <c r="I254" i="20"/>
  <c r="J254" i="20"/>
  <c r="G25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52" i="20" l="1"/>
  <c r="J253" i="20"/>
  <c r="K253" i="20"/>
  <c r="I253" i="20"/>
  <c r="AM59" i="18"/>
  <c r="AL58" i="18"/>
  <c r="E38" i="14"/>
  <c r="G38" i="14" s="1"/>
  <c r="K252" i="20" l="1"/>
  <c r="J252" i="20"/>
  <c r="I252" i="20"/>
  <c r="G251" i="20"/>
  <c r="AL57" i="18"/>
  <c r="AM58" i="18"/>
  <c r="E37" i="14"/>
  <c r="G37" i="14" s="1"/>
  <c r="G250" i="20" l="1"/>
  <c r="J251" i="20"/>
  <c r="K251" i="20"/>
  <c r="I251" i="20"/>
  <c r="AL56" i="18"/>
  <c r="AM57" i="18"/>
  <c r="E36" i="14"/>
  <c r="G36" i="14" s="1"/>
  <c r="B105" i="13"/>
  <c r="G249" i="20" l="1"/>
  <c r="J250" i="20"/>
  <c r="K250" i="20"/>
  <c r="I250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I249" i="20" l="1"/>
  <c r="G248" i="20"/>
  <c r="K249" i="20"/>
  <c r="J249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7" i="20" l="1"/>
  <c r="I248" i="20"/>
  <c r="K248" i="20"/>
  <c r="J248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6" i="20" l="1"/>
  <c r="I247" i="20"/>
  <c r="K247" i="20"/>
  <c r="J247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45" i="20" l="1"/>
  <c r="J246" i="20"/>
  <c r="K246" i="20"/>
  <c r="I246" i="20"/>
  <c r="H33" i="48"/>
  <c r="B27" i="50"/>
  <c r="D2" i="50"/>
  <c r="G2" i="50"/>
  <c r="G28" i="50" s="1"/>
  <c r="AL51" i="18"/>
  <c r="AM52" i="18"/>
  <c r="D27" i="48"/>
  <c r="E252" i="15"/>
  <c r="G244" i="20" l="1"/>
  <c r="I245" i="20"/>
  <c r="K245" i="20"/>
  <c r="J245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44" i="20" l="1"/>
  <c r="J244" i="20"/>
  <c r="G243" i="20"/>
  <c r="I244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42" i="20" l="1"/>
  <c r="K243" i="20"/>
  <c r="I243" i="20"/>
  <c r="J243" i="20"/>
  <c r="AL48" i="18"/>
  <c r="AM49" i="18"/>
  <c r="E30" i="14"/>
  <c r="G31" i="14"/>
  <c r="E248" i="15"/>
  <c r="G241" i="20" l="1"/>
  <c r="I242" i="20"/>
  <c r="K242" i="20"/>
  <c r="J242" i="20"/>
  <c r="AL47" i="18"/>
  <c r="AM48" i="18"/>
  <c r="E29" i="14"/>
  <c r="G30" i="14"/>
  <c r="E247" i="15"/>
  <c r="E246" i="15"/>
  <c r="G240" i="20" l="1"/>
  <c r="K241" i="20"/>
  <c r="I241" i="20"/>
  <c r="J241" i="20"/>
  <c r="AL46" i="18"/>
  <c r="AM47" i="18"/>
  <c r="E28" i="14"/>
  <c r="G29" i="14"/>
  <c r="E245" i="15"/>
  <c r="G239" i="20" l="1"/>
  <c r="I240" i="20"/>
  <c r="K240" i="20"/>
  <c r="J240" i="20"/>
  <c r="AM46" i="18"/>
  <c r="AL45" i="18"/>
  <c r="E27" i="14"/>
  <c r="G28" i="14"/>
  <c r="N15" i="33"/>
  <c r="E244" i="15"/>
  <c r="G238" i="20" l="1"/>
  <c r="K239" i="20"/>
  <c r="I239" i="20"/>
  <c r="J239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J238" i="20" l="1"/>
  <c r="G237" i="20"/>
  <c r="K238" i="20"/>
  <c r="I238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I237" i="20" l="1"/>
  <c r="G236" i="20"/>
  <c r="J237" i="20"/>
  <c r="K237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35" i="20" l="1"/>
  <c r="J236" i="20"/>
  <c r="K236" i="20"/>
  <c r="I236" i="20"/>
  <c r="AL41" i="18"/>
  <c r="AM42" i="18"/>
  <c r="E23" i="14"/>
  <c r="G24" i="14"/>
  <c r="H25" i="43"/>
  <c r="G2" i="43"/>
  <c r="G25" i="43" s="1"/>
  <c r="G30" i="43" s="1"/>
  <c r="H30" i="43" s="1"/>
  <c r="G234" i="20" l="1"/>
  <c r="I235" i="20"/>
  <c r="J235" i="20"/>
  <c r="K235" i="20"/>
  <c r="AM41" i="18"/>
  <c r="AL40" i="18"/>
  <c r="E22" i="14"/>
  <c r="G23" i="14"/>
  <c r="I2" i="43"/>
  <c r="I25" i="43" s="1"/>
  <c r="I30" i="43" s="1"/>
  <c r="D24" i="43"/>
  <c r="K234" i="20" l="1"/>
  <c r="I234" i="20"/>
  <c r="G233" i="20"/>
  <c r="J234" i="20"/>
  <c r="AL39" i="18"/>
  <c r="AM40" i="18"/>
  <c r="E21" i="14"/>
  <c r="E20" i="14" s="1"/>
  <c r="E19" i="14" s="1"/>
  <c r="E18" i="14" s="1"/>
  <c r="G22" i="14"/>
  <c r="E243" i="15"/>
  <c r="J233" i="20" l="1"/>
  <c r="K233" i="20"/>
  <c r="G232" i="20"/>
  <c r="I233" i="20"/>
  <c r="AM39" i="18"/>
  <c r="AL38" i="18"/>
  <c r="E242" i="15"/>
  <c r="G231" i="20" l="1"/>
  <c r="J232" i="20"/>
  <c r="K232" i="20"/>
  <c r="I232" i="20"/>
  <c r="AL37" i="18"/>
  <c r="AM38" i="18"/>
  <c r="J57" i="33"/>
  <c r="J55" i="33"/>
  <c r="J54" i="33"/>
  <c r="G230" i="20" l="1"/>
  <c r="K231" i="20"/>
  <c r="I231" i="20"/>
  <c r="J231" i="20"/>
  <c r="AL36" i="18"/>
  <c r="AM37" i="18"/>
  <c r="L57" i="33"/>
  <c r="E241" i="15"/>
  <c r="G229" i="20" l="1"/>
  <c r="K230" i="20"/>
  <c r="I230" i="20"/>
  <c r="J230" i="20"/>
  <c r="AM36" i="18"/>
  <c r="AL35" i="18"/>
  <c r="D168" i="20"/>
  <c r="G228" i="20" l="1"/>
  <c r="K229" i="20"/>
  <c r="I229" i="20"/>
  <c r="J229" i="20"/>
  <c r="AL34" i="18"/>
  <c r="AM35" i="18"/>
  <c r="E240" i="15"/>
  <c r="E239" i="15"/>
  <c r="D259" i="15" l="1"/>
  <c r="J228" i="20"/>
  <c r="I228" i="20"/>
  <c r="G227" i="20"/>
  <c r="K228" i="20"/>
  <c r="AL33" i="18"/>
  <c r="AM34" i="18"/>
  <c r="D258" i="15" l="1"/>
  <c r="F259" i="15"/>
  <c r="G226" i="20"/>
  <c r="K227" i="20"/>
  <c r="J227" i="20"/>
  <c r="I227" i="20"/>
  <c r="AL32" i="18"/>
  <c r="AM33" i="18"/>
  <c r="D257" i="15" l="1"/>
  <c r="F258" i="15"/>
  <c r="G225" i="20"/>
  <c r="J226" i="20"/>
  <c r="I226" i="20"/>
  <c r="K226" i="20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56" i="15" l="1"/>
  <c r="F257" i="15"/>
  <c r="J225" i="20"/>
  <c r="G224" i="20"/>
  <c r="K225" i="20"/>
  <c r="I225" i="20"/>
  <c r="AL30" i="18"/>
  <c r="AM31" i="18"/>
  <c r="L60" i="32"/>
  <c r="L48" i="32"/>
  <c r="D255" i="15" l="1"/>
  <c r="F256" i="15"/>
  <c r="G223" i="20"/>
  <c r="I224" i="20"/>
  <c r="J224" i="20"/>
  <c r="K224" i="20"/>
  <c r="AL29" i="18"/>
  <c r="AM30" i="18"/>
  <c r="D254" i="15" l="1"/>
  <c r="F255" i="15"/>
  <c r="J223" i="20"/>
  <c r="I223" i="20"/>
  <c r="G222" i="20"/>
  <c r="K223" i="20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D253" i="15" l="1"/>
  <c r="F254" i="15"/>
  <c r="K222" i="20"/>
  <c r="G221" i="20"/>
  <c r="I222" i="20"/>
  <c r="J222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D252" i="15" l="1"/>
  <c r="F253" i="15"/>
  <c r="J221" i="20"/>
  <c r="I221" i="20"/>
  <c r="G220" i="20"/>
  <c r="K221" i="20"/>
  <c r="AL26" i="18"/>
  <c r="AM27" i="18"/>
  <c r="G182" i="13"/>
  <c r="E180" i="13"/>
  <c r="G181" i="13"/>
  <c r="F140" i="13"/>
  <c r="F141" i="13"/>
  <c r="F142" i="13"/>
  <c r="F143" i="13"/>
  <c r="F144" i="13"/>
  <c r="F145" i="13"/>
  <c r="D251" i="15" l="1"/>
  <c r="F252" i="15"/>
  <c r="G219" i="20"/>
  <c r="K220" i="20"/>
  <c r="I220" i="20"/>
  <c r="J220" i="20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50" i="15" l="1"/>
  <c r="F251" i="15"/>
  <c r="G218" i="20"/>
  <c r="K219" i="20"/>
  <c r="I219" i="20"/>
  <c r="J219" i="20"/>
  <c r="AL24" i="18"/>
  <c r="AM25" i="18"/>
  <c r="E178" i="13"/>
  <c r="G179" i="13"/>
  <c r="D249" i="15" l="1"/>
  <c r="F250" i="15"/>
  <c r="G217" i="20"/>
  <c r="I218" i="20"/>
  <c r="K218" i="20"/>
  <c r="J218" i="20"/>
  <c r="AM24" i="18"/>
  <c r="AL23" i="18"/>
  <c r="E177" i="13"/>
  <c r="G178" i="13"/>
  <c r="F249" i="15" l="1"/>
  <c r="D248" i="15"/>
  <c r="J217" i="20"/>
  <c r="I217" i="20"/>
  <c r="K217" i="20"/>
  <c r="G216" i="20"/>
  <c r="AM23" i="18"/>
  <c r="AL22" i="18"/>
  <c r="E176" i="13"/>
  <c r="G177" i="13"/>
  <c r="D165" i="20"/>
  <c r="D247" i="15" l="1"/>
  <c r="F248" i="15"/>
  <c r="G215" i="20"/>
  <c r="J216" i="20"/>
  <c r="K216" i="20"/>
  <c r="I216" i="20"/>
  <c r="AL21" i="18"/>
  <c r="AL20" i="18" s="1"/>
  <c r="AM22" i="18"/>
  <c r="E175" i="13"/>
  <c r="G176" i="13"/>
  <c r="D164" i="20"/>
  <c r="F247" i="15" l="1"/>
  <c r="D246" i="15"/>
  <c r="G214" i="20"/>
  <c r="I215" i="20"/>
  <c r="K215" i="20"/>
  <c r="J215" i="20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16" i="18" l="1"/>
  <c r="F246" i="15"/>
  <c r="D245" i="15"/>
  <c r="G213" i="20"/>
  <c r="I214" i="20"/>
  <c r="K214" i="20"/>
  <c r="J214" i="20"/>
  <c r="E173" i="13"/>
  <c r="G174" i="13"/>
  <c r="X720" i="41"/>
  <c r="U2123" i="41"/>
  <c r="F245" i="15" l="1"/>
  <c r="D244" i="15"/>
  <c r="G212" i="20"/>
  <c r="J213" i="20"/>
  <c r="K213" i="20"/>
  <c r="I213" i="20"/>
  <c r="AN116" i="18"/>
  <c r="AJ121" i="18" s="1"/>
  <c r="AJ125" i="18" s="1"/>
  <c r="E172" i="13"/>
  <c r="G173" i="13"/>
  <c r="D62" i="38"/>
  <c r="F244" i="15" l="1"/>
  <c r="D243" i="15"/>
  <c r="I212" i="20"/>
  <c r="J212" i="20"/>
  <c r="K212" i="20"/>
  <c r="G211" i="20"/>
  <c r="AJ124" i="18"/>
  <c r="E171" i="13"/>
  <c r="G172" i="13"/>
  <c r="F243" i="15" l="1"/>
  <c r="D242" i="15"/>
  <c r="G210" i="20"/>
  <c r="J211" i="20"/>
  <c r="K211" i="20"/>
  <c r="I211" i="20"/>
  <c r="E170" i="13"/>
  <c r="G171" i="13"/>
  <c r="F242" i="15" l="1"/>
  <c r="D241" i="15"/>
  <c r="G209" i="20"/>
  <c r="K210" i="20"/>
  <c r="I210" i="20"/>
  <c r="J210" i="20"/>
  <c r="E169" i="13"/>
  <c r="G170" i="13"/>
  <c r="D163" i="20"/>
  <c r="F241" i="15" l="1"/>
  <c r="D240" i="15"/>
  <c r="G208" i="20"/>
  <c r="J209" i="20"/>
  <c r="I209" i="20"/>
  <c r="K209" i="20"/>
  <c r="E168" i="13"/>
  <c r="G169" i="13"/>
  <c r="D239" i="15" l="1"/>
  <c r="F240" i="15"/>
  <c r="G207" i="20"/>
  <c r="I208" i="20"/>
  <c r="K208" i="20"/>
  <c r="J208" i="20"/>
  <c r="E167" i="13"/>
  <c r="G168" i="13"/>
  <c r="D162" i="20"/>
  <c r="D238" i="15" l="1"/>
  <c r="F239" i="15"/>
  <c r="G206" i="20"/>
  <c r="K207" i="20"/>
  <c r="I207" i="20"/>
  <c r="J207" i="20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D237" i="15" l="1"/>
  <c r="F238" i="15"/>
  <c r="G73" i="16"/>
  <c r="K206" i="20"/>
  <c r="G205" i="20"/>
  <c r="J206" i="20"/>
  <c r="I206" i="20"/>
  <c r="G72" i="16"/>
  <c r="E165" i="13"/>
  <c r="G166" i="13"/>
  <c r="G71" i="16"/>
  <c r="G70" i="16"/>
  <c r="G69" i="16"/>
  <c r="D160" i="20"/>
  <c r="F237" i="15" l="1"/>
  <c r="D236" i="15"/>
  <c r="G204" i="20"/>
  <c r="I205" i="20"/>
  <c r="K205" i="20"/>
  <c r="J205" i="20"/>
  <c r="E164" i="13"/>
  <c r="G165" i="13"/>
  <c r="D159" i="20"/>
  <c r="D235" i="15" l="1"/>
  <c r="F236" i="15"/>
  <c r="K204" i="20"/>
  <c r="G203" i="20"/>
  <c r="J204" i="20"/>
  <c r="I204" i="20"/>
  <c r="E163" i="13"/>
  <c r="G164" i="13"/>
  <c r="D158" i="20"/>
  <c r="D157" i="20"/>
  <c r="F235" i="15" l="1"/>
  <c r="D234" i="15"/>
  <c r="K203" i="20"/>
  <c r="I203" i="20"/>
  <c r="G202" i="20"/>
  <c r="J203" i="20"/>
  <c r="E162" i="13"/>
  <c r="G163" i="13"/>
  <c r="D156" i="20"/>
  <c r="F234" i="15" l="1"/>
  <c r="D233" i="15"/>
  <c r="J202" i="20"/>
  <c r="I202" i="20"/>
  <c r="G201" i="20"/>
  <c r="K202" i="20"/>
  <c r="E161" i="13"/>
  <c r="G162" i="13"/>
  <c r="D155" i="20"/>
  <c r="D232" i="15" l="1"/>
  <c r="F233" i="15"/>
  <c r="I201" i="20"/>
  <c r="G200" i="20"/>
  <c r="J201" i="20"/>
  <c r="K201" i="20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232" i="15" l="1"/>
  <c r="D231" i="15"/>
  <c r="G199" i="20"/>
  <c r="I200" i="20"/>
  <c r="J200" i="20"/>
  <c r="K200" i="20"/>
  <c r="E159" i="13"/>
  <c r="G160" i="13"/>
  <c r="F231" i="15" l="1"/>
  <c r="D230" i="15"/>
  <c r="G198" i="20"/>
  <c r="K199" i="20"/>
  <c r="J199" i="20"/>
  <c r="I199" i="20"/>
  <c r="E158" i="13"/>
  <c r="G159" i="13"/>
  <c r="D154" i="20"/>
  <c r="D153" i="20"/>
  <c r="F230" i="15" l="1"/>
  <c r="D229" i="15"/>
  <c r="G197" i="20"/>
  <c r="K198" i="20"/>
  <c r="J198" i="20"/>
  <c r="I198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F229" i="15" l="1"/>
  <c r="D228" i="15"/>
  <c r="K197" i="20"/>
  <c r="J197" i="20"/>
  <c r="G196" i="20"/>
  <c r="I197" i="20"/>
  <c r="E156" i="13"/>
  <c r="G157" i="13"/>
  <c r="F228" i="15" l="1"/>
  <c r="D227" i="15"/>
  <c r="G195" i="20"/>
  <c r="J196" i="20"/>
  <c r="K196" i="20"/>
  <c r="I196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F227" i="15" l="1"/>
  <c r="D226" i="15"/>
  <c r="J195" i="20"/>
  <c r="I195" i="20"/>
  <c r="G194" i="20"/>
  <c r="K195" i="20"/>
  <c r="E154" i="13"/>
  <c r="G155" i="13"/>
  <c r="I46" i="32"/>
  <c r="D225" i="15" l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G193" i="20"/>
  <c r="K194" i="20"/>
  <c r="I194" i="20"/>
  <c r="J194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F196" i="15" l="1"/>
  <c r="G192" i="20"/>
  <c r="K193" i="20"/>
  <c r="I193" i="20"/>
  <c r="J193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91" i="20" l="1"/>
  <c r="K192" i="20"/>
  <c r="I192" i="20"/>
  <c r="J192" i="20"/>
  <c r="E151" i="13"/>
  <c r="G152" i="13"/>
  <c r="G190" i="20" l="1"/>
  <c r="K191" i="20"/>
  <c r="I191" i="20"/>
  <c r="J191" i="20"/>
  <c r="E150" i="13"/>
  <c r="G151" i="13"/>
  <c r="G189" i="20" l="1"/>
  <c r="J190" i="20"/>
  <c r="I190" i="20"/>
  <c r="K190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88" i="20" l="1"/>
  <c r="K189" i="20"/>
  <c r="J189" i="20"/>
  <c r="I189" i="20"/>
  <c r="E148" i="13"/>
  <c r="G149" i="13"/>
  <c r="G187" i="20" l="1"/>
  <c r="J188" i="20"/>
  <c r="I188" i="20"/>
  <c r="K188" i="20"/>
  <c r="E147" i="13"/>
  <c r="G148" i="13"/>
  <c r="G186" i="20" l="1"/>
  <c r="K187" i="20"/>
  <c r="J187" i="20"/>
  <c r="I187" i="20"/>
  <c r="E146" i="13"/>
  <c r="G147" i="13"/>
  <c r="K47" i="32"/>
  <c r="U47" i="32" s="1"/>
  <c r="U46" i="32"/>
  <c r="G185" i="20" l="1"/>
  <c r="K186" i="20"/>
  <c r="J186" i="20"/>
  <c r="I186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84" i="20" l="1"/>
  <c r="I185" i="20"/>
  <c r="K185" i="20"/>
  <c r="J185" i="20"/>
  <c r="E144" i="13"/>
  <c r="G145" i="13"/>
  <c r="AD15" i="32"/>
  <c r="AB15" i="32"/>
  <c r="Z34" i="32"/>
  <c r="G45" i="10"/>
  <c r="D42" i="34"/>
  <c r="I184" i="20" l="1"/>
  <c r="K184" i="20"/>
  <c r="J184" i="20"/>
  <c r="G183" i="20"/>
  <c r="E143" i="13"/>
  <c r="G144" i="13"/>
  <c r="AC16" i="32"/>
  <c r="AD16" i="32"/>
  <c r="AB16" i="32"/>
  <c r="I183" i="20" l="1"/>
  <c r="G182" i="20"/>
  <c r="K183" i="20"/>
  <c r="J183" i="20"/>
  <c r="E142" i="13"/>
  <c r="G143" i="13"/>
  <c r="K182" i="20" l="1"/>
  <c r="J182" i="20"/>
  <c r="I182" i="20"/>
  <c r="G181" i="20"/>
  <c r="E141" i="13"/>
  <c r="G142" i="13"/>
  <c r="U8" i="32"/>
  <c r="G180" i="20" l="1"/>
  <c r="J181" i="20"/>
  <c r="K181" i="20"/>
  <c r="I181" i="20"/>
  <c r="E140" i="13"/>
  <c r="G141" i="13"/>
  <c r="K180" i="20" l="1"/>
  <c r="G179" i="20"/>
  <c r="J180" i="20"/>
  <c r="I180" i="20"/>
  <c r="E139" i="13"/>
  <c r="G140" i="13"/>
  <c r="N34" i="33"/>
  <c r="I179" i="20" l="1"/>
  <c r="K179" i="20"/>
  <c r="G178" i="20"/>
  <c r="J179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7" i="20" l="1"/>
  <c r="K178" i="20"/>
  <c r="I178" i="20"/>
  <c r="J178" i="20"/>
  <c r="E137" i="13"/>
  <c r="G138" i="13"/>
  <c r="Q43" i="32"/>
  <c r="G176" i="20" l="1"/>
  <c r="I177" i="20"/>
  <c r="K177" i="20"/>
  <c r="J177" i="20"/>
  <c r="E136" i="13"/>
  <c r="G137" i="13"/>
  <c r="I42" i="32"/>
  <c r="K41" i="32"/>
  <c r="M41" i="32"/>
  <c r="M29" i="32"/>
  <c r="R29" i="32" s="1"/>
  <c r="K29" i="32"/>
  <c r="J176" i="20" l="1"/>
  <c r="G175" i="20"/>
  <c r="K176" i="20"/>
  <c r="I176" i="20"/>
  <c r="E135" i="13"/>
  <c r="G136" i="13"/>
  <c r="Q29" i="32"/>
  <c r="K175" i="20" l="1"/>
  <c r="G174" i="20"/>
  <c r="J175" i="20"/>
  <c r="I175" i="20"/>
  <c r="E134" i="13"/>
  <c r="G135" i="13"/>
  <c r="U29" i="32"/>
  <c r="U62" i="32"/>
  <c r="U63" i="32"/>
  <c r="U64" i="32"/>
  <c r="U65" i="32"/>
  <c r="U66" i="32"/>
  <c r="U67" i="32"/>
  <c r="U68" i="32"/>
  <c r="AC28" i="33"/>
  <c r="J174" i="20" l="1"/>
  <c r="G173" i="20"/>
  <c r="I174" i="20"/>
  <c r="E133" i="13"/>
  <c r="G134" i="13"/>
  <c r="AE24" i="33"/>
  <c r="G172" i="20" l="1"/>
  <c r="I173" i="20"/>
  <c r="K173" i="20"/>
  <c r="J173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71" i="20" l="1"/>
  <c r="J172" i="20"/>
  <c r="K172" i="20"/>
  <c r="I172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70" i="20" l="1"/>
  <c r="I171" i="20"/>
  <c r="K171" i="20"/>
  <c r="J171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9" i="20" l="1"/>
  <c r="K170" i="20"/>
  <c r="J170" i="20"/>
  <c r="I170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I169" i="20" l="1"/>
  <c r="G168" i="20"/>
  <c r="K169" i="20"/>
  <c r="J169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J168" i="20" l="1"/>
  <c r="I168" i="20"/>
  <c r="K168" i="20"/>
  <c r="G16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6" i="20" l="1"/>
  <c r="I167" i="20"/>
  <c r="J167" i="20"/>
  <c r="K167" i="20"/>
  <c r="E126" i="13"/>
  <c r="G127" i="13"/>
  <c r="H30" i="42"/>
  <c r="I2" i="42"/>
  <c r="I25" i="42" s="1"/>
  <c r="I30" i="42" s="1"/>
  <c r="D24" i="42"/>
  <c r="K28" i="32"/>
  <c r="K166" i="20" l="1"/>
  <c r="I166" i="20"/>
  <c r="G165" i="20"/>
  <c r="J166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64" i="20" l="1"/>
  <c r="K165" i="20"/>
  <c r="J165" i="20"/>
  <c r="I165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63" i="20" l="1"/>
  <c r="J164" i="20"/>
  <c r="K164" i="20"/>
  <c r="I164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62" i="20" l="1"/>
  <c r="J163" i="20"/>
  <c r="K163" i="20"/>
  <c r="I163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61" i="20" l="1"/>
  <c r="K162" i="20"/>
  <c r="J162" i="20"/>
  <c r="I162" i="20"/>
  <c r="G102" i="13"/>
  <c r="G199" i="13"/>
  <c r="G103" i="13"/>
  <c r="U14" i="32"/>
  <c r="L14" i="32" s="1"/>
  <c r="Q9" i="32"/>
  <c r="R9" i="32"/>
  <c r="Y5" i="33"/>
  <c r="G160" i="20" l="1"/>
  <c r="I161" i="20"/>
  <c r="J161" i="20"/>
  <c r="K161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60" i="20" l="1"/>
  <c r="I160" i="20"/>
  <c r="G159" i="20"/>
  <c r="J160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59" i="20" l="1"/>
  <c r="K159" i="20"/>
  <c r="I159" i="20"/>
  <c r="G158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7" i="20" l="1"/>
  <c r="K158" i="20"/>
  <c r="I158" i="20"/>
  <c r="J158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156" i="20" l="1"/>
  <c r="I157" i="20"/>
  <c r="J157" i="20"/>
  <c r="K157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56" i="20" l="1"/>
  <c r="I156" i="20"/>
  <c r="G155" i="20"/>
  <c r="J156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54" i="20" l="1"/>
  <c r="K155" i="20"/>
  <c r="I155" i="20"/>
  <c r="J155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I154" i="20" l="1"/>
  <c r="J154" i="20"/>
  <c r="K154" i="20"/>
  <c r="G153" i="20"/>
  <c r="H25" i="31"/>
  <c r="G25" i="31"/>
  <c r="I2" i="31"/>
  <c r="I25" i="31" s="1"/>
  <c r="D24" i="31"/>
  <c r="B24" i="31"/>
  <c r="G44" i="10"/>
  <c r="D143" i="20"/>
  <c r="K153" i="20" l="1"/>
  <c r="I153" i="20"/>
  <c r="G152" i="20"/>
  <c r="J153" i="20"/>
  <c r="H30" i="31"/>
  <c r="I30" i="31"/>
  <c r="G151" i="20" l="1"/>
  <c r="I152" i="20"/>
  <c r="J152" i="20"/>
  <c r="K152" i="20"/>
  <c r="E184" i="15"/>
  <c r="E185" i="15"/>
  <c r="E183" i="15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86" i="20" l="1"/>
  <c r="I119" i="20"/>
  <c r="K119" i="20"/>
  <c r="J116" i="20"/>
  <c r="E49" i="13"/>
  <c r="G50" i="13"/>
  <c r="I126" i="20"/>
  <c r="N17" i="18" l="1"/>
  <c r="N60" i="18" s="1"/>
  <c r="D29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0" i="18" s="1"/>
  <c r="F24" i="18" s="1"/>
  <c r="L61" i="18" l="1"/>
  <c r="E33" i="13"/>
  <c r="G34" i="13"/>
  <c r="I97" i="20"/>
  <c r="K97" i="20"/>
  <c r="J97" i="20"/>
  <c r="F108" i="15"/>
  <c r="C20" i="18"/>
  <c r="G20" i="14"/>
  <c r="G21" i="14"/>
  <c r="L6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86" i="20" s="1"/>
  <c r="J2" i="20"/>
  <c r="J286" i="20" s="1"/>
  <c r="I2" i="20"/>
  <c r="I286" i="20" s="1"/>
  <c r="F13" i="15"/>
  <c r="I289" i="20" l="1"/>
  <c r="J289" i="20"/>
  <c r="K289" i="20"/>
  <c r="F12" i="15"/>
  <c r="J293" i="20" l="1"/>
  <c r="K29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U87" i="18" l="1"/>
  <c r="V87" i="18" s="1"/>
  <c r="U89" i="18"/>
  <c r="V89" i="18" s="1"/>
</calcChain>
</file>

<file path=xl/sharedStrings.xml><?xml version="1.0" encoding="utf-8"?>
<sst xmlns="http://schemas.openxmlformats.org/spreadsheetml/2006/main" count="10040" uniqueCount="4637">
  <si>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</si>
  <si>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</si>
  <si>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</si>
  <si>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</si>
  <si>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</si>
  <si>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</si>
  <si>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</si>
  <si>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</si>
  <si>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</si>
  <si>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</si>
  <si>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</si>
  <si>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</si>
  <si>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</si>
  <si>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</si>
  <si>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</si>
  <si>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</si>
  <si>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</si>
  <si>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</si>
  <si>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</si>
  <si>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</si>
  <si>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</si>
  <si>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</si>
  <si>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</si>
  <si>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</si>
  <si>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</si>
  <si>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</si>
  <si>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</si>
  <si>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</si>
  <si>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</si>
  <si>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</si>
  <si>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</si>
  <si>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</si>
  <si>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</si>
  <si>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</si>
  <si>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</si>
  <si>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</si>
  <si>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</si>
  <si>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</si>
  <si>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</si>
  <si>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</si>
  <si>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</si>
  <si>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</si>
  <si>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</si>
  <si>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</si>
  <si>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</si>
  <si>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</si>
  <si>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</si>
  <si>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</si>
  <si>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</si>
  <si>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</si>
  <si>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</si>
  <si>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</si>
  <si>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</si>
  <si>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</si>
  <si>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</si>
  <si>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</si>
  <si>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</si>
  <si>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</si>
  <si>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</si>
  <si>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</si>
  <si>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</si>
  <si>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</si>
  <si>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</si>
  <si>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</si>
  <si>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</si>
  <si>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</si>
  <si>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</si>
  <si>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</si>
  <si>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</si>
  <si>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</si>
  <si>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</si>
  <si>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</si>
  <si>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</si>
  <si>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</si>
  <si>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</si>
  <si>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</si>
  <si>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</si>
  <si>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</si>
  <si>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</si>
  <si>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</si>
  <si>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</si>
  <si>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</si>
  <si>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</si>
  <si>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</si>
  <si>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</si>
  <si>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</si>
  <si>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</si>
  <si>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</si>
  <si>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</si>
  <si>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</si>
  <si>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</si>
  <si>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</si>
  <si>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</si>
  <si>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</si>
  <si>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</si>
  <si>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</si>
  <si>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</si>
  <si>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</si>
  <si>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</si>
  <si>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</si>
  <si>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</si>
  <si>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</si>
  <si>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</si>
  <si>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</si>
  <si>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</si>
  <si>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</si>
  <si>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</si>
  <si>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</si>
  <si>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</si>
  <si>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</si>
  <si>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</si>
  <si>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</si>
  <si>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</si>
  <si>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</si>
  <si>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</si>
  <si>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</si>
  <si>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</si>
  <si>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</si>
  <si>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</si>
  <si>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</si>
  <si>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</si>
  <si>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</si>
  <si>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</si>
  <si>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</si>
  <si>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</si>
  <si>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</si>
  <si>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</si>
  <si>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</si>
  <si>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</si>
  <si>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</si>
  <si>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</si>
  <si>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</si>
  <si>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</si>
  <si>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</si>
  <si>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</si>
  <si>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</si>
  <si>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</si>
  <si>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</si>
  <si>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</si>
  <si>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</si>
  <si>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</si>
  <si>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</si>
  <si>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</si>
  <si>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</si>
  <si>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</si>
  <si>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</si>
  <si>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</si>
  <si>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</si>
  <si>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</si>
  <si>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</si>
  <si>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</si>
  <si>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</si>
  <si>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</si>
  <si>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</si>
  <si>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</si>
  <si>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</si>
  <si>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</si>
  <si>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</si>
  <si>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</si>
  <si>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</si>
  <si>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</si>
  <si>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</si>
  <si>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</si>
  <si>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</si>
  <si>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</si>
  <si>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</si>
  <si>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</si>
  <si>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</si>
  <si>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</si>
  <si>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</si>
  <si>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</si>
  <si>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</si>
  <si>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</si>
  <si>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</si>
  <si>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</si>
  <si>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</si>
  <si>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</si>
  <si>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</si>
  <si>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</si>
  <si>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</si>
  <si>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</si>
  <si>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</si>
  <si>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</si>
  <si>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</si>
  <si>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</si>
  <si>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</si>
  <si>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</si>
  <si>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</si>
  <si>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</si>
  <si>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</si>
  <si>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</si>
  <si>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</si>
  <si>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</si>
  <si>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</si>
  <si>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</si>
  <si>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</si>
  <si>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</si>
  <si>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</si>
  <si>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</si>
  <si>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</si>
  <si>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</si>
  <si>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</si>
  <si>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</si>
  <si>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</si>
  <si>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</si>
  <si>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</si>
  <si>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</si>
  <si>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</si>
  <si>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</si>
  <si>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</si>
  <si>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</si>
  <si>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</si>
  <si>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</si>
  <si>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</si>
  <si>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</si>
  <si>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</si>
  <si>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</si>
  <si>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</si>
  <si>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</si>
  <si>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</si>
  <si>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</si>
  <si>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</si>
  <si>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</si>
  <si>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</si>
  <si>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</si>
  <si>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</si>
  <si>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</si>
  <si>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</si>
  <si>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</si>
  <si>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</si>
  <si>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</si>
  <si>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</si>
  <si>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</si>
  <si>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</si>
  <si>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</si>
  <si>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</si>
  <si>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</si>
  <si>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</si>
  <si>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</si>
  <si>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</si>
  <si>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</si>
  <si>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</si>
  <si>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</si>
  <si>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</si>
  <si>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</si>
  <si>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</si>
  <si>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</si>
  <si>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</si>
  <si>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</si>
  <si>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</si>
  <si>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</si>
  <si>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</si>
  <si>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</si>
  <si>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</si>
  <si>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</si>
  <si>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</si>
  <si>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</si>
  <si>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</si>
  <si>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</si>
  <si>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</si>
  <si>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</si>
  <si>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</si>
  <si>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</si>
  <si>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</si>
  <si>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</si>
  <si>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</si>
  <si>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</si>
  <si>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</si>
  <si>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</si>
  <si>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</si>
  <si>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</si>
  <si>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</si>
  <si>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</si>
  <si>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</si>
  <si>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</si>
  <si>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</si>
  <si>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</si>
  <si>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</si>
  <si>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</si>
  <si>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</si>
  <si>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</si>
  <si>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</si>
  <si>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</si>
  <si>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</si>
  <si>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</si>
  <si>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</si>
  <si>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</si>
  <si>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</si>
  <si>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</si>
  <si>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</si>
  <si>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</si>
  <si>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</si>
  <si>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</si>
  <si>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</si>
  <si>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</si>
  <si>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</si>
  <si>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</si>
  <si>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</si>
  <si>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</si>
  <si>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</si>
  <si>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</si>
  <si>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</si>
  <si>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</si>
  <si>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</si>
  <si>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</si>
  <si>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</si>
  <si>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</si>
  <si>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</si>
  <si>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</si>
  <si>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</si>
  <si>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</si>
  <si>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</si>
  <si>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</si>
  <si>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</si>
  <si>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</si>
  <si>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</si>
  <si>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</si>
  <si>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</si>
  <si>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</si>
  <si>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</si>
  <si>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</si>
  <si>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</si>
  <si>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</si>
  <si>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</si>
  <si>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</si>
  <si>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</si>
  <si>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</si>
  <si>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</si>
  <si>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</si>
  <si>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</si>
  <si>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</si>
  <si>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</si>
  <si>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</si>
  <si>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</si>
  <si>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</si>
  <si>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</si>
  <si>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</si>
  <si>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</si>
  <si>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</si>
  <si>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</si>
  <si>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</si>
  <si>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</si>
  <si>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</si>
  <si>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</si>
  <si>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</si>
  <si>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</si>
  <si>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</si>
  <si>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</si>
  <si>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</si>
  <si>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</si>
  <si>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</si>
  <si>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</si>
  <si>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</si>
  <si>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</si>
  <si>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</si>
  <si>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</si>
  <si>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</si>
  <si>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</si>
  <si>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</si>
  <si>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</si>
  <si>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</si>
  <si>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</si>
  <si>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</si>
  <si>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</si>
  <si>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</si>
  <si>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</si>
  <si>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</si>
  <si>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</si>
  <si>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</si>
  <si>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</si>
  <si>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</si>
  <si>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</si>
  <si>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</si>
  <si>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</si>
  <si>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</si>
  <si>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</si>
  <si>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</si>
  <si>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</si>
  <si>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</si>
  <si>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</si>
  <si>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</si>
  <si>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</si>
  <si>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</si>
  <si>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</si>
  <si>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</si>
  <si>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</si>
  <si>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</si>
  <si>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</si>
  <si>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</si>
  <si>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</si>
  <si>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</si>
  <si>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</si>
  <si>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</si>
  <si>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</si>
  <si>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</si>
  <si>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</si>
  <si>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</si>
  <si>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</si>
  <si>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</si>
  <si>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</si>
  <si>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</si>
  <si>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</si>
  <si>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</si>
  <si>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</si>
  <si>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</si>
  <si>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</si>
  <si>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</si>
  <si>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</si>
  <si>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</si>
  <si>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</si>
  <si>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</si>
  <si>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</si>
  <si>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</si>
  <si>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</si>
  <si>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</si>
  <si>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</si>
  <si>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</si>
  <si>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</si>
  <si>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</si>
  <si>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</si>
  <si>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</si>
  <si>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</si>
  <si>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</si>
  <si>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</si>
  <si>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</si>
  <si>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</si>
  <si>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</si>
  <si>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</si>
  <si>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</si>
  <si>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</si>
  <si>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</si>
  <si>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</si>
  <si>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</si>
  <si>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</si>
  <si>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</si>
  <si>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</si>
  <si>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</si>
  <si>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</si>
  <si>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</si>
  <si>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</si>
  <si>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</si>
  <si>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</si>
  <si>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</si>
  <si>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</si>
  <si>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</si>
  <si>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</si>
  <si>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</si>
  <si>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</si>
  <si>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</si>
  <si>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</si>
  <si>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</si>
  <si>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</si>
  <si>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</si>
  <si>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</si>
  <si>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</si>
  <si>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</si>
  <si>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</si>
  <si>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</si>
  <si>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</si>
  <si>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</si>
  <si>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</si>
  <si>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</si>
  <si>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</si>
  <si>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</si>
  <si>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</si>
  <si>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</si>
  <si>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</si>
  <si>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</si>
  <si>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</si>
  <si>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</si>
  <si>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</si>
  <si>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</si>
  <si>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</si>
  <si>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</si>
  <si>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</si>
  <si>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</si>
  <si>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</si>
  <si>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</si>
  <si>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</si>
  <si>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</si>
  <si>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</si>
  <si>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</si>
  <si>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</si>
  <si>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</si>
  <si>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</si>
  <si>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</si>
  <si>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</si>
  <si>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</si>
  <si>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</si>
  <si>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</si>
  <si>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</si>
  <si>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</si>
  <si>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</si>
  <si>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</si>
  <si>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</si>
  <si>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</si>
  <si>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</si>
  <si>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</si>
  <si>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</si>
  <si>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</si>
  <si>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</si>
  <si>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</si>
  <si>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</si>
  <si>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</si>
  <si>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</si>
  <si>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</si>
  <si>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</si>
  <si>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</si>
  <si>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</si>
  <si>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</si>
  <si>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</si>
  <si>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</si>
  <si>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</si>
  <si>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</si>
  <si>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</si>
  <si>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</si>
  <si>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</si>
  <si>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</si>
  <si>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</si>
  <si>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</si>
  <si>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</si>
  <si>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</si>
  <si>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</si>
  <si>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</si>
  <si>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</si>
  <si>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</si>
  <si>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</si>
  <si>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</si>
  <si>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</si>
  <si>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</si>
  <si>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</si>
  <si>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</si>
  <si>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</si>
  <si>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</si>
  <si>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</si>
  <si>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</si>
  <si>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</si>
  <si>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</si>
  <si>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</si>
  <si>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</si>
  <si>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</si>
  <si>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</si>
  <si>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</si>
  <si>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</si>
  <si>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</si>
  <si>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</si>
  <si>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</si>
  <si>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</si>
  <si>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</si>
  <si>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</si>
  <si>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</si>
  <si>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</si>
  <si>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</si>
  <si>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</si>
  <si>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</si>
  <si>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</si>
  <si>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</si>
  <si>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</si>
  <si>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</si>
  <si>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</si>
  <si>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</si>
  <si>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</si>
  <si>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</si>
  <si>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</si>
  <si>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</si>
  <si>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</si>
  <si>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</si>
  <si>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</si>
  <si>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</si>
  <si>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</si>
  <si>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</si>
  <si>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</si>
  <si>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</si>
  <si>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</si>
  <si>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</si>
  <si>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</si>
  <si>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</si>
  <si>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</si>
  <si>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</si>
  <si>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</si>
  <si>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</si>
  <si>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</si>
  <si>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</si>
  <si>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</si>
  <si>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</si>
  <si>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</si>
  <si>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</si>
  <si>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</si>
  <si>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</si>
  <si>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</si>
  <si>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</si>
  <si>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</si>
  <si>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</si>
  <si>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</si>
  <si>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</si>
  <si>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</si>
  <si>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</si>
  <si>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</si>
  <si>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</si>
  <si>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</si>
  <si>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</si>
  <si>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</si>
  <si>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</si>
  <si>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</si>
  <si>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</si>
  <si>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</si>
  <si>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</si>
  <si>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</si>
  <si>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</si>
  <si>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</si>
  <si>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</si>
  <si>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</si>
  <si>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</si>
  <si>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</si>
  <si>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</si>
  <si>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</si>
  <si>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</si>
  <si>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</si>
  <si>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</si>
  <si>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</si>
  <si>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</si>
  <si>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</si>
  <si>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</si>
  <si>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</si>
  <si>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</si>
  <si>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</si>
  <si>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</si>
  <si>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</si>
  <si>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</si>
  <si>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</si>
  <si>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</si>
  <si>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</si>
  <si>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</si>
  <si>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</si>
  <si>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</si>
  <si>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</si>
  <si>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</si>
  <si>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</si>
  <si>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</si>
  <si>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</si>
  <si>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</si>
  <si>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</si>
  <si>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</si>
  <si>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</si>
  <si>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</si>
  <si>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</si>
  <si>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</si>
  <si>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</si>
  <si>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</si>
  <si>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</si>
  <si>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</si>
  <si>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</si>
  <si>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</si>
  <si>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</si>
  <si>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</si>
  <si>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</si>
  <si>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</si>
  <si>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</si>
  <si>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</si>
  <si>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</si>
  <si>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</si>
  <si>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</si>
  <si>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</si>
  <si>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</si>
  <si>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</si>
  <si>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</si>
  <si>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</si>
  <si>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</si>
  <si>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</si>
  <si>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</si>
  <si>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</si>
  <si>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</si>
  <si>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</si>
  <si>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</si>
  <si>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</si>
  <si>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</si>
  <si>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</si>
  <si>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</si>
  <si>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</si>
  <si>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</si>
  <si>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</si>
  <si>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</si>
  <si>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</si>
  <si>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</si>
  <si>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</si>
  <si>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</si>
  <si>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</si>
  <si>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</si>
  <si>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</si>
  <si>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</si>
  <si>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</si>
  <si>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</si>
  <si>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</si>
  <si>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</si>
  <si>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</si>
  <si>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</si>
  <si>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</si>
  <si>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</si>
  <si>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</si>
  <si>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</si>
  <si>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</si>
  <si>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</si>
  <si>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</si>
  <si>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</si>
  <si>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</si>
  <si>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</si>
  <si>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</si>
  <si>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</si>
  <si>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</si>
  <si>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</si>
  <si>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</si>
  <si>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</si>
  <si>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</si>
  <si>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</si>
  <si>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</si>
  <si>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</si>
  <si>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</si>
  <si>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</si>
  <si>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</si>
  <si>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</si>
  <si>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</si>
  <si>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</si>
  <si>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</si>
  <si>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</si>
  <si>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</si>
  <si>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</si>
  <si>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</si>
  <si>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</si>
  <si>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</si>
  <si>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</si>
  <si>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</si>
  <si>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</si>
  <si>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</si>
  <si>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</si>
  <si>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</si>
  <si>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</si>
  <si>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</si>
  <si>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</si>
  <si>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</si>
  <si>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</si>
  <si>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</si>
  <si>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</si>
  <si>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</si>
  <si>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</si>
  <si>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</si>
  <si>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</si>
  <si>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</si>
  <si>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</si>
  <si>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</si>
  <si>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</si>
  <si>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</si>
  <si>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</si>
  <si>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</si>
  <si>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</si>
  <si>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</si>
  <si>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</si>
  <si>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</si>
  <si>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</si>
  <si>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</si>
  <si>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</si>
  <si>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</si>
  <si>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</si>
  <si>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</si>
  <si>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</si>
  <si>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</si>
  <si>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</si>
  <si>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</si>
  <si>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</si>
  <si>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</si>
  <si>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</si>
  <si>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</si>
  <si>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</si>
  <si>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</si>
  <si>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</si>
  <si>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</si>
  <si>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</si>
  <si>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</si>
  <si>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</si>
  <si>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</si>
  <si>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</si>
  <si>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</si>
  <si>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</si>
  <si>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</si>
  <si>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</si>
  <si>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</si>
  <si>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</si>
  <si>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</si>
  <si>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</si>
  <si>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</si>
  <si>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</si>
  <si>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</si>
  <si>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</si>
  <si>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</si>
  <si>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</si>
  <si>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</si>
  <si>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</si>
  <si>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</si>
  <si>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</si>
  <si>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</si>
  <si>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</si>
  <si>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</si>
  <si>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</si>
  <si>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</si>
  <si>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</si>
  <si>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</si>
  <si>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</si>
  <si>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</si>
  <si>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</si>
  <si>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</si>
  <si>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</si>
  <si>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</si>
  <si>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</si>
  <si>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</si>
  <si>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</si>
  <si>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</si>
  <si>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</si>
  <si>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</si>
  <si>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</si>
  <si>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</si>
  <si>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</si>
  <si>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</si>
  <si>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</si>
  <si>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</si>
  <si>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</si>
  <si>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</si>
  <si>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</si>
  <si>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</si>
  <si>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</si>
  <si>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</si>
  <si>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</si>
  <si>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</si>
  <si>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</si>
  <si>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</si>
  <si>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</si>
  <si>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</si>
  <si>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</si>
  <si>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</si>
  <si>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</si>
  <si>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</si>
  <si>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</si>
  <si>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</si>
  <si>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</si>
  <si>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</si>
  <si>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</si>
  <si>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</si>
  <si>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</si>
  <si>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</si>
  <si>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</si>
  <si>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</si>
  <si>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</si>
  <si>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</si>
  <si>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</si>
  <si>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</si>
  <si>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</si>
  <si>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</si>
  <si>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</si>
  <si>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</si>
  <si>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</si>
  <si>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</si>
  <si>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</si>
  <si>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</si>
  <si>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</si>
  <si>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</si>
  <si>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</si>
  <si>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</si>
  <si>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</si>
  <si>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</si>
  <si>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</si>
  <si>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</si>
  <si>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</si>
  <si>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</si>
  <si>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</si>
  <si>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</si>
  <si>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</si>
  <si>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</si>
  <si>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</si>
  <si>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</si>
  <si>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</si>
  <si>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</si>
  <si>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</si>
  <si>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</si>
  <si>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</si>
  <si>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</si>
  <si>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</si>
  <si>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</si>
  <si>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</si>
  <si>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</si>
  <si>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</si>
  <si>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</si>
  <si>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</si>
  <si>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</si>
  <si>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</si>
  <si>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</si>
  <si>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</si>
  <si>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</si>
  <si>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</si>
  <si>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</si>
  <si>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</si>
  <si>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</si>
  <si>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</si>
  <si>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</si>
  <si>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</si>
  <si>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</si>
  <si>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</si>
  <si>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</si>
  <si>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</si>
  <si>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</si>
  <si>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</si>
  <si>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</si>
  <si>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</si>
  <si>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</si>
  <si>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</si>
  <si>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</si>
  <si>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</si>
  <si>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</si>
  <si>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</si>
  <si>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</si>
  <si>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</si>
  <si>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</si>
  <si>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</si>
  <si>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</si>
  <si>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</si>
  <si>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</si>
  <si>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</si>
  <si>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</si>
  <si>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</si>
  <si>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</si>
  <si>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</si>
  <si>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</si>
  <si>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</si>
  <si>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</si>
  <si>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</si>
  <si>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</si>
  <si>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</si>
  <si>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</si>
  <si>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</si>
  <si>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</si>
  <si>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</si>
  <si>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</si>
  <si>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</si>
  <si>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</si>
  <si>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</si>
  <si>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</si>
  <si>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</si>
  <si>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</si>
  <si>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</si>
  <si>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</si>
  <si>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</si>
  <si>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</si>
  <si>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</si>
  <si>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</si>
  <si>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</si>
  <si>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</si>
  <si>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</si>
  <si>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</si>
  <si>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</si>
  <si>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</si>
  <si>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</si>
  <si>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</si>
  <si>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</si>
  <si>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</si>
  <si>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</si>
  <si>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</si>
  <si>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</si>
  <si>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</si>
  <si>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</si>
  <si>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</si>
  <si>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</si>
  <si>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</si>
  <si>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</si>
  <si>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</si>
  <si>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</si>
  <si>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</si>
  <si>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</si>
  <si>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</si>
  <si>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</si>
  <si>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</si>
  <si>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</si>
  <si>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</si>
  <si>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</si>
  <si>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</si>
  <si>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</si>
  <si>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</si>
  <si>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</si>
  <si>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</si>
  <si>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</si>
  <si>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</si>
  <si>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</si>
  <si>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</si>
  <si>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</si>
  <si>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</si>
  <si>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</si>
  <si>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</si>
  <si>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</si>
  <si>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</si>
  <si>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</si>
  <si>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</si>
  <si>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</si>
  <si>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</si>
  <si>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</si>
  <si>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</si>
  <si>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</si>
  <si>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</si>
  <si>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</si>
  <si>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</si>
  <si>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</si>
  <si>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</si>
  <si>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</si>
  <si>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</si>
  <si>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</si>
  <si>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</si>
  <si>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</si>
  <si>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</si>
  <si>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</si>
  <si>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</si>
  <si>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</si>
  <si>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</si>
  <si>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</si>
  <si>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</si>
  <si>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</si>
  <si>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</si>
  <si>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</si>
  <si>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</si>
  <si>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</si>
  <si>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</si>
  <si>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</si>
  <si>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</si>
  <si>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</si>
  <si>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</si>
  <si>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</si>
  <si>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</si>
  <si>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</si>
  <si>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</si>
  <si>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</si>
  <si>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</si>
  <si>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</si>
  <si>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</si>
  <si>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</si>
  <si>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</si>
  <si>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</si>
  <si>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</si>
  <si>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</si>
  <si>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</si>
  <si>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</si>
  <si>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</si>
  <si>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</si>
  <si>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</si>
  <si>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</si>
  <si>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</si>
  <si>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</si>
  <si>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</si>
  <si>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</si>
  <si>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</si>
  <si>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</si>
  <si>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</si>
  <si>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</si>
  <si>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</si>
  <si>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</si>
  <si>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</si>
  <si>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</si>
  <si>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</si>
  <si>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</si>
  <si>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</si>
  <si>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</si>
  <si>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</si>
  <si>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</si>
  <si>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</si>
  <si>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</si>
  <si>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</si>
  <si>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</si>
  <si>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</si>
  <si>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</si>
  <si>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</si>
  <si>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</si>
  <si>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</si>
  <si>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</si>
  <si>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</si>
  <si>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</si>
  <si>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</si>
  <si>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</si>
  <si>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</si>
  <si>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</si>
  <si>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</si>
  <si>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</si>
  <si>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</si>
  <si>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</si>
  <si>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</si>
  <si>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</si>
  <si>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</si>
  <si>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</si>
  <si>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</si>
  <si>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</si>
  <si>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</si>
  <si>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</si>
  <si>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</si>
  <si>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</si>
  <si>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</si>
  <si>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</si>
  <si>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</si>
  <si>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</si>
  <si>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</si>
  <si>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</si>
  <si>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</si>
  <si>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</si>
  <si>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</si>
  <si>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</si>
  <si>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</si>
  <si>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</si>
  <si>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</si>
  <si>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</si>
  <si>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</si>
  <si>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</si>
  <si>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</si>
  <si>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</si>
  <si>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</si>
  <si>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</si>
  <si>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</si>
  <si>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</si>
  <si>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</si>
  <si>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</si>
  <si>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</si>
  <si>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</si>
  <si>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</si>
  <si>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</si>
  <si>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</si>
  <si>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</si>
  <si>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</si>
  <si>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</si>
  <si>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</si>
  <si>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</si>
  <si>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</si>
  <si>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</si>
  <si>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</si>
  <si>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</si>
  <si>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</si>
  <si>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</si>
  <si>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</si>
  <si>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</si>
  <si>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</si>
  <si>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</si>
  <si>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</si>
  <si>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</si>
  <si>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</si>
  <si>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</si>
  <si>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</si>
  <si>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</si>
  <si>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</si>
  <si>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</si>
  <si>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</si>
  <si>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</si>
  <si>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</si>
  <si>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</si>
  <si>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</si>
  <si>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</si>
  <si>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</si>
  <si>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</si>
  <si>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</si>
  <si>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</si>
  <si>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</si>
  <si>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</si>
  <si>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</si>
  <si>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</si>
  <si>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</si>
  <si>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</si>
  <si>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</si>
  <si>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</si>
  <si>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</si>
  <si>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</si>
  <si>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</si>
  <si>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</si>
  <si>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</si>
  <si>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</si>
  <si>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</si>
  <si>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</si>
  <si>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</si>
  <si>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</si>
  <si>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</si>
  <si>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</si>
  <si>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</si>
  <si>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</si>
  <si>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</si>
  <si>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</si>
  <si>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</si>
  <si>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</si>
  <si>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</si>
  <si>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</si>
  <si>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</si>
  <si>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</si>
  <si>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</si>
  <si>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</si>
  <si>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</si>
  <si>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</si>
  <si>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</si>
  <si>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</si>
  <si>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</si>
  <si>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</si>
  <si>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</si>
  <si>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</si>
  <si>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</si>
  <si>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</si>
  <si>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</si>
  <si>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</si>
  <si>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</si>
  <si>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</si>
  <si>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</si>
  <si>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</si>
  <si>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</si>
  <si>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</si>
  <si>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</si>
  <si>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</si>
  <si>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</si>
  <si>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</si>
  <si>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</si>
  <si>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</si>
  <si>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</si>
  <si>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</si>
  <si>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</si>
  <si>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</si>
  <si>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</si>
  <si>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</si>
  <si>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</si>
  <si>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</si>
  <si>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</si>
  <si>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</si>
  <si>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</si>
  <si>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</si>
  <si>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</si>
  <si>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</si>
  <si>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</si>
  <si>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</si>
  <si>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</si>
  <si>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</si>
  <si>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</si>
  <si>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</si>
  <si>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</si>
  <si>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</si>
  <si>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</si>
  <si>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</si>
  <si>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</si>
  <si>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</si>
  <si>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</si>
  <si>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</si>
  <si>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</si>
  <si>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</si>
  <si>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</si>
  <si>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</si>
  <si>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</si>
  <si>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</si>
  <si>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</si>
  <si>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</si>
  <si>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</si>
  <si>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</si>
  <si>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</si>
  <si>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</si>
  <si>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</si>
  <si>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</si>
  <si>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</si>
  <si>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</si>
  <si>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</si>
  <si>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</si>
  <si>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</si>
  <si>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</si>
  <si>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</si>
  <si>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</si>
  <si>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</si>
  <si>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</si>
  <si>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</si>
  <si>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</si>
  <si>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</si>
  <si>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</si>
  <si>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</si>
  <si>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</si>
  <si>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</si>
  <si>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</si>
  <si>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</si>
  <si>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</si>
  <si>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</si>
  <si>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</si>
  <si>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</si>
  <si>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</si>
  <si>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</si>
  <si>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</si>
  <si>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</si>
  <si>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</si>
  <si>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</si>
  <si>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</si>
  <si>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</si>
  <si>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</si>
  <si>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</si>
  <si>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</si>
  <si>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</si>
  <si>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</si>
  <si>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</si>
  <si>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</si>
  <si>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</si>
  <si>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</si>
  <si>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</si>
  <si>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</si>
  <si>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</si>
  <si>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</si>
  <si>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</si>
  <si>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</si>
  <si>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</si>
  <si>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</si>
  <si>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</si>
  <si>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</si>
  <si>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</si>
  <si>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</si>
  <si>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</si>
  <si>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</si>
  <si>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</si>
  <si>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</si>
  <si>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</si>
  <si>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</si>
  <si>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</si>
  <si>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</si>
  <si>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</si>
  <si>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</si>
  <si>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</si>
  <si>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</si>
  <si>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</si>
  <si>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</si>
  <si>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</si>
  <si>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</si>
  <si>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</si>
  <si>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</si>
  <si>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</si>
  <si>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</si>
  <si>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</si>
  <si>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</si>
  <si>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</si>
  <si>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</si>
  <si>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</si>
  <si>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</si>
  <si>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</si>
  <si>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</si>
  <si>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</si>
  <si>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</si>
  <si>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</si>
  <si>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</si>
  <si>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</si>
  <si>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</si>
  <si>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</si>
  <si>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</si>
  <si>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</si>
  <si>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</si>
  <si>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</si>
  <si>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</si>
  <si>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</si>
  <si>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</si>
  <si>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</si>
  <si>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</si>
  <si>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</si>
  <si>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</si>
  <si>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</si>
  <si>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</si>
  <si>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</si>
  <si>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</si>
  <si>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</si>
  <si>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</si>
  <si>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</si>
  <si>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</si>
  <si>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</si>
  <si>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</si>
  <si>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</si>
  <si>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</si>
  <si>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</si>
  <si>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</si>
  <si>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</si>
  <si>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</si>
  <si>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</si>
  <si>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</si>
  <si>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</si>
  <si>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</si>
  <si>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</si>
  <si>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</si>
  <si>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</si>
  <si>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</si>
  <si>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</si>
  <si>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</si>
  <si>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</si>
  <si>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</si>
  <si>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</si>
  <si>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</si>
  <si>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</si>
  <si>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</si>
  <si>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</si>
  <si>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</si>
  <si>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</si>
  <si>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</si>
  <si>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</si>
  <si>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</si>
  <si>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</si>
  <si>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</si>
  <si>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</si>
  <si>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</si>
  <si>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</si>
  <si>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</si>
  <si>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</si>
  <si>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</si>
  <si>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</si>
  <si>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</si>
  <si>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</si>
  <si>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</si>
  <si>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</si>
  <si>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</si>
  <si>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</si>
  <si>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</si>
  <si>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</si>
  <si>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</si>
  <si>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</si>
  <si>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</si>
  <si>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</si>
  <si>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</si>
  <si>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</si>
  <si>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</si>
  <si>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</si>
  <si>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</si>
  <si>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</si>
  <si>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</si>
  <si>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</si>
  <si>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</si>
  <si>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</si>
  <si>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</si>
  <si>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</si>
  <si>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</si>
  <si>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</si>
  <si>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</si>
  <si>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</si>
  <si>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</si>
  <si>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</si>
  <si>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</si>
  <si>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</si>
  <si>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</si>
  <si>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</si>
  <si>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</si>
  <si>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</si>
  <si>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</si>
  <si>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</si>
  <si>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</si>
  <si>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</si>
  <si>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</si>
  <si>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</si>
  <si>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</si>
  <si>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</si>
  <si>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</si>
  <si>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</si>
  <si>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</si>
  <si>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</si>
  <si>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</si>
  <si>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</si>
  <si>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</si>
  <si>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</si>
  <si>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</si>
  <si>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</si>
  <si>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</si>
  <si>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</si>
  <si>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</si>
  <si>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</si>
  <si>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</si>
  <si>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</si>
  <si>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</si>
  <si>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</si>
  <si>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</si>
  <si>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</si>
  <si>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</si>
  <si>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</si>
  <si>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</si>
  <si>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</si>
  <si>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</si>
  <si>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</si>
  <si>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</si>
  <si>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</si>
  <si>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</si>
  <si>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</si>
  <si>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</si>
  <si>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</si>
  <si>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</si>
  <si>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</si>
  <si>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</si>
  <si>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</si>
  <si>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</si>
  <si>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</si>
  <si>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</si>
  <si>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</si>
  <si>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</si>
  <si>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</si>
  <si>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</si>
  <si>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</si>
  <si>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</si>
  <si>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</si>
  <si>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</si>
  <si>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</si>
  <si>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</si>
  <si>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</si>
  <si>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</si>
  <si>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</si>
  <si>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</si>
  <si>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</si>
  <si>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</si>
  <si>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</si>
  <si>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</si>
  <si>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</si>
  <si>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</si>
  <si>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</si>
  <si>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</si>
  <si>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</si>
  <si>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</si>
  <si>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</si>
  <si>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</si>
  <si>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</si>
  <si>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</si>
  <si>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</si>
  <si>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</si>
  <si>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</si>
  <si>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</si>
  <si>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</si>
  <si>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</si>
  <si>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</si>
  <si>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</si>
  <si>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</si>
  <si>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</si>
  <si>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</si>
  <si>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</si>
  <si>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</si>
  <si>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</si>
  <si>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</si>
  <si>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</si>
  <si>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</si>
  <si>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</si>
  <si>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</si>
  <si>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</si>
  <si>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</si>
  <si>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</si>
  <si>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</si>
  <si>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</si>
  <si>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</si>
  <si>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</si>
  <si>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</si>
  <si>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</si>
  <si>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</si>
  <si>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</si>
  <si>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</si>
  <si>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</si>
  <si>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</si>
  <si>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</si>
  <si>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</si>
  <si>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</si>
  <si>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</si>
  <si>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</si>
  <si>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</si>
  <si>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</si>
  <si>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</si>
  <si>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</si>
  <si>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</si>
  <si>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</si>
  <si>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</si>
  <si>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</si>
  <si>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</si>
  <si>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</si>
  <si>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</si>
  <si>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</si>
  <si>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</si>
  <si>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</si>
  <si>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</si>
  <si>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</si>
  <si>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</si>
  <si>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</si>
  <si>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</si>
  <si>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</si>
  <si>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</si>
  <si>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</si>
  <si>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</si>
  <si>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</si>
  <si>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</si>
  <si>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</si>
  <si>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</si>
  <si>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</si>
  <si>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</si>
  <si>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</si>
  <si>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</si>
  <si>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</si>
  <si>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</si>
  <si>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</si>
  <si>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</si>
  <si>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</si>
  <si>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</si>
  <si>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</si>
  <si>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</si>
  <si>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</si>
  <si>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</si>
  <si>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</si>
  <si>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</si>
  <si>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</si>
  <si>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</si>
  <si>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</si>
  <si>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</si>
  <si>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</si>
  <si>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</si>
  <si>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</si>
  <si>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</si>
  <si>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</si>
  <si>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</si>
  <si>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</si>
  <si>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</si>
  <si>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</si>
  <si>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</si>
  <si>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</si>
  <si>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</si>
  <si>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</si>
  <si>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</si>
  <si>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</si>
  <si>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</si>
  <si>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</si>
  <si>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</si>
  <si>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</si>
  <si>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</si>
  <si>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</si>
  <si>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</si>
  <si>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</si>
  <si>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</si>
  <si>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</si>
  <si>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</si>
  <si>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</si>
  <si>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</si>
  <si>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</si>
  <si>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</si>
  <si>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</si>
  <si>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</si>
  <si>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</si>
  <si>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</si>
  <si>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</si>
  <si>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</si>
  <si>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</si>
  <si>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</si>
  <si>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</si>
  <si>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</si>
  <si>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</si>
  <si>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</si>
  <si>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</si>
  <si>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</si>
  <si>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</si>
  <si>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</si>
  <si>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</si>
  <si>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</si>
  <si>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</si>
  <si>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</si>
  <si>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</si>
  <si>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</si>
  <si>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</si>
  <si>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</si>
  <si>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</si>
  <si>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</si>
  <si>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</si>
  <si>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</si>
  <si>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</si>
  <si>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</si>
  <si>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</si>
  <si>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</si>
  <si>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</si>
  <si>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</si>
  <si>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</si>
  <si>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</si>
  <si>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</si>
  <si>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</si>
  <si>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</si>
  <si>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</si>
  <si>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</si>
  <si>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</si>
  <si>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</si>
  <si>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</si>
  <si>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</si>
  <si>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</si>
  <si>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</si>
  <si>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</si>
  <si>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</si>
  <si>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</si>
  <si>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</si>
  <si>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</si>
  <si>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</si>
  <si>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</si>
  <si>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</si>
  <si>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</si>
  <si>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</si>
  <si>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</si>
  <si>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</si>
  <si>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</si>
  <si>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</si>
  <si>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</si>
  <si>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</si>
  <si>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</si>
  <si>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</si>
  <si>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</si>
  <si>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</si>
  <si>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</si>
  <si>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</si>
  <si>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</si>
  <si>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</si>
  <si>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</si>
  <si>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</si>
  <si>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</si>
  <si>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</si>
  <si>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</si>
  <si>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</si>
  <si>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</si>
  <si>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</si>
  <si>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</si>
  <si>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</si>
  <si>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</si>
  <si>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</si>
  <si>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</si>
  <si>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</si>
  <si>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</si>
  <si>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</si>
  <si>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</si>
  <si>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</si>
  <si>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</si>
  <si>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</si>
  <si>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</si>
  <si>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</si>
  <si>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</si>
  <si>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</si>
  <si>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</si>
  <si>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</si>
  <si>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</si>
  <si>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</si>
  <si>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</si>
  <si>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</si>
  <si>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</si>
  <si>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</si>
  <si>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</si>
  <si>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</si>
  <si>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</si>
  <si>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</si>
  <si>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</si>
  <si>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</si>
  <si>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</si>
  <si>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</si>
  <si>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</si>
  <si>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</si>
  <si>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</si>
  <si>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</si>
  <si>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</si>
  <si>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</si>
  <si>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</si>
  <si>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</si>
  <si>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</si>
  <si>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</si>
  <si>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</si>
  <si>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</si>
  <si>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</si>
  <si>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</si>
  <si>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</si>
  <si>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</si>
  <si>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</si>
  <si>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</si>
  <si>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</si>
  <si>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</si>
  <si>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</si>
  <si>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</si>
  <si>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</si>
  <si>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</si>
  <si>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</si>
  <si>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</si>
  <si>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</si>
  <si>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</si>
  <si>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</si>
  <si>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</si>
  <si>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</si>
  <si>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</si>
  <si>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</si>
  <si>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</si>
  <si>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</si>
  <si>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</si>
  <si>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</si>
  <si>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</si>
  <si>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</si>
  <si>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</si>
  <si>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</si>
  <si>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</si>
  <si>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</si>
  <si>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</si>
  <si>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</si>
  <si>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</si>
  <si>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</si>
  <si>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</si>
  <si>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</si>
  <si>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</si>
  <si>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</si>
  <si>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</si>
  <si>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</si>
  <si>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</si>
  <si>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</si>
  <si>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</si>
  <si>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</si>
  <si>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</si>
  <si>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</si>
  <si>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</si>
  <si>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</si>
  <si>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</si>
  <si>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</si>
  <si>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</si>
  <si>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</si>
  <si>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</si>
  <si>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</si>
  <si>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</si>
  <si>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</si>
  <si>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</si>
  <si>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</si>
  <si>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</si>
  <si>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</si>
  <si>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</si>
  <si>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</si>
  <si>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</si>
  <si>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</si>
  <si>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</si>
  <si>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</si>
  <si>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</si>
  <si>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</si>
  <si>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</si>
  <si>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</si>
  <si>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</si>
  <si>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</si>
  <si>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</si>
  <si>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</si>
  <si>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</si>
  <si>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</si>
  <si>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</si>
  <si>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</si>
  <si>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</si>
  <si>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</si>
  <si>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</si>
  <si>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</si>
  <si>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</si>
  <si>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</si>
  <si>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</si>
  <si>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</si>
  <si>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</si>
  <si>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</si>
  <si>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</si>
  <si>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</si>
  <si>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</si>
  <si>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</si>
  <si>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</si>
  <si>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</si>
  <si>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</si>
  <si>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</si>
  <si>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</si>
  <si>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</si>
  <si>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</si>
  <si>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</si>
  <si>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</si>
  <si>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</si>
  <si>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</si>
  <si>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</si>
  <si>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</si>
  <si>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</si>
  <si>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</si>
  <si>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</si>
  <si>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</si>
  <si>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</si>
  <si>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</si>
  <si>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</si>
  <si>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</si>
  <si>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</si>
  <si>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</si>
  <si>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</si>
  <si>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</si>
  <si>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</si>
  <si>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</si>
  <si>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</si>
  <si>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</si>
  <si>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</si>
  <si>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</si>
  <si>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</si>
  <si>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</si>
  <si>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</si>
  <si>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</si>
  <si>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</si>
  <si>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</si>
  <si>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</si>
  <si>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</si>
  <si>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</si>
  <si>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</si>
  <si>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</si>
  <si>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</si>
  <si>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</si>
  <si>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</si>
  <si>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</si>
  <si>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</si>
  <si>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</si>
  <si>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</si>
  <si>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</si>
  <si>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</si>
  <si>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</si>
  <si>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</si>
  <si>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</si>
  <si>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</si>
  <si>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</si>
  <si>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</si>
  <si>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</si>
  <si>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</si>
  <si>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</si>
  <si>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</si>
  <si>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</si>
  <si>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</si>
  <si>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</si>
  <si>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</si>
  <si>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</si>
  <si>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</si>
  <si>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</si>
  <si>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</si>
  <si>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</si>
  <si>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</si>
  <si>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</si>
  <si>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</si>
  <si>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</si>
  <si>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</si>
  <si>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</si>
  <si>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</si>
  <si>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</si>
  <si>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</si>
  <si>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</si>
  <si>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</si>
  <si>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</si>
  <si>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</si>
  <si>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</si>
  <si>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</si>
  <si>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</si>
  <si>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</si>
  <si>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</si>
  <si>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</si>
  <si>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</si>
  <si>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</si>
  <si>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</si>
  <si>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</si>
  <si>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</si>
  <si>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</si>
  <si>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</si>
  <si>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</si>
  <si>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</si>
  <si>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</si>
  <si>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</si>
  <si>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</si>
  <si>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</si>
  <si>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</si>
  <si>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</si>
  <si>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</si>
  <si>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</si>
  <si>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</si>
  <si>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</si>
  <si>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</si>
  <si>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</si>
  <si>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</si>
  <si>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</si>
  <si>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</si>
  <si>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</si>
  <si>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</si>
  <si>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</si>
  <si>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</si>
  <si>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</si>
  <si>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</si>
  <si>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</si>
  <si>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</si>
  <si>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</si>
  <si>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</si>
  <si>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</si>
  <si>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</si>
  <si>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</si>
  <si>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</si>
  <si>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</si>
  <si>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</si>
  <si>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</si>
  <si>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</si>
  <si>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</si>
  <si>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</si>
  <si>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</si>
  <si>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</si>
  <si>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</si>
  <si>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</si>
  <si>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</si>
  <si>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</si>
  <si>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</si>
  <si>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</si>
  <si>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</si>
  <si>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</si>
  <si>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</si>
  <si>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</si>
  <si>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</si>
  <si>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</si>
  <si>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</si>
  <si>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</si>
  <si>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</si>
  <si>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</si>
  <si>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</si>
  <si>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</si>
  <si>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</si>
  <si>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</si>
  <si>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</si>
  <si>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</si>
  <si>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</si>
  <si>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</si>
  <si>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</si>
  <si>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</si>
  <si>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</si>
  <si>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</si>
  <si>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</si>
  <si>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</si>
  <si>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</si>
  <si>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</si>
  <si>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</si>
  <si>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</si>
  <si>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</si>
  <si>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</si>
  <si>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</si>
  <si>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</si>
  <si>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</si>
  <si>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</si>
  <si>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</si>
  <si>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</si>
  <si>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</si>
  <si>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</si>
  <si>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</si>
  <si>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</si>
  <si>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</si>
  <si>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</si>
  <si>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</si>
  <si>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</si>
  <si>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</si>
  <si>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</si>
  <si>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</si>
  <si>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</si>
  <si>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</si>
  <si>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</si>
  <si>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</si>
  <si>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</si>
  <si>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</si>
  <si>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</si>
  <si>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</si>
  <si>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</si>
  <si>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</si>
  <si>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</si>
  <si>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</si>
  <si>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</si>
  <si>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</si>
  <si>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</si>
  <si>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</si>
  <si>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</si>
  <si>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</si>
  <si>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</si>
  <si>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</si>
  <si>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</si>
  <si>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</si>
  <si>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</si>
  <si>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</si>
  <si>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</si>
  <si>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</si>
  <si>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</si>
  <si>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</si>
  <si>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</si>
  <si>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</si>
  <si>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</si>
  <si>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</si>
  <si>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</si>
  <si>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</si>
  <si>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</si>
  <si>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</si>
  <si>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</si>
  <si>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</si>
  <si>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</si>
  <si>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</si>
  <si>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</si>
  <si>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</si>
  <si>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</si>
  <si>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</si>
  <si>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</si>
  <si>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</si>
  <si>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</si>
  <si>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</si>
  <si>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</si>
  <si>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</si>
  <si>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</si>
  <si>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</si>
  <si>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</si>
  <si>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</si>
  <si>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</si>
  <si>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</si>
  <si>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</si>
  <si>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</si>
  <si>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</si>
  <si>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</si>
  <si>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</si>
  <si>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</si>
  <si>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</si>
  <si>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</si>
  <si>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</si>
  <si>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</si>
  <si>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</si>
  <si>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</si>
  <si>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</si>
  <si>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</si>
  <si>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</si>
  <si>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</si>
  <si>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</si>
  <si>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</si>
  <si>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</si>
  <si>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</si>
  <si>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</si>
  <si>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</si>
  <si>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</si>
  <si>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</si>
  <si>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</si>
  <si>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</si>
  <si>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</si>
  <si>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</si>
  <si>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</si>
  <si>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</si>
  <si>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</si>
  <si>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</si>
  <si>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</si>
  <si>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</si>
  <si>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</si>
  <si>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</si>
  <si>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</si>
  <si>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</si>
  <si>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</si>
  <si>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</si>
  <si>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</si>
  <si>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</si>
  <si>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</si>
  <si>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</si>
  <si>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</si>
  <si>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</si>
  <si>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</si>
  <si>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</si>
  <si>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</si>
  <si>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</si>
  <si>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</si>
  <si>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</si>
  <si>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</si>
  <si>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</si>
  <si>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</si>
  <si>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</si>
  <si>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</si>
  <si>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</si>
  <si>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</si>
  <si>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</si>
  <si>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</si>
  <si>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</si>
  <si>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</si>
  <si>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</si>
  <si>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</si>
  <si>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</si>
  <si>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</si>
  <si>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</si>
  <si>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</si>
  <si>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</si>
  <si>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</si>
  <si>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</si>
  <si>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</si>
  <si>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</si>
  <si>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</si>
  <si>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</si>
  <si>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</si>
  <si>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</si>
  <si>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</si>
  <si>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</si>
  <si>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</si>
  <si>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</si>
  <si>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</si>
  <si>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</si>
  <si>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</si>
  <si>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</si>
  <si>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</si>
  <si>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</si>
  <si>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</si>
  <si>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</si>
  <si>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</si>
  <si>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</si>
  <si>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</si>
  <si>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</si>
  <si>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</si>
  <si>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</si>
  <si>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</si>
  <si>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</si>
  <si>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</si>
  <si>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</si>
  <si>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</si>
  <si>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</si>
  <si>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</si>
  <si>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</si>
  <si>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</si>
  <si>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</si>
  <si>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</si>
  <si>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</si>
  <si>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</si>
  <si>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</si>
  <si>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</si>
  <si>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</si>
  <si>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</si>
  <si>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</si>
  <si>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</si>
  <si>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</si>
  <si>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</si>
  <si>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</si>
  <si>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</si>
  <si>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</si>
  <si>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</si>
  <si>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</si>
  <si>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</si>
  <si>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</si>
  <si>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</si>
  <si>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</si>
  <si>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</si>
  <si>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</si>
  <si>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</si>
  <si>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</si>
  <si>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</si>
  <si>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</si>
  <si>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</si>
  <si>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</si>
  <si>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</si>
  <si>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</si>
  <si>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</si>
  <si>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</si>
  <si>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</si>
  <si>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</si>
  <si>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</si>
  <si>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</si>
  <si>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</si>
  <si>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</si>
  <si>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</si>
  <si>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</si>
  <si>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</si>
  <si>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</si>
  <si>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</si>
  <si>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</si>
  <si>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</si>
  <si>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</si>
  <si>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</si>
  <si>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</si>
  <si>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</si>
  <si>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</si>
  <si>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</si>
  <si>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</si>
  <si>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</si>
  <si>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</si>
  <si>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</si>
  <si>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</si>
  <si>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</si>
  <si>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</si>
  <si>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</si>
  <si>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</si>
  <si>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</si>
  <si>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</si>
  <si>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</si>
  <si>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</si>
  <si>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</si>
  <si>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</si>
  <si>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</si>
  <si>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</si>
  <si>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</si>
  <si>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</si>
  <si>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</si>
  <si>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</si>
  <si>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</si>
  <si>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</si>
  <si>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</si>
  <si>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</si>
  <si>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</si>
  <si>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</si>
  <si>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</si>
  <si>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</si>
  <si>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</si>
  <si>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</si>
  <si>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</si>
  <si>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</si>
  <si>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</si>
  <si>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</si>
  <si>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</si>
  <si>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</si>
  <si>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</si>
  <si>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</si>
  <si>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</si>
  <si>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</si>
  <si>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</si>
  <si>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</si>
  <si>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</si>
  <si>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</si>
  <si>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</si>
  <si>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</si>
  <si>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</si>
  <si>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</si>
  <si>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</si>
  <si>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</si>
  <si>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</si>
  <si>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</si>
  <si>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</si>
  <si>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</si>
  <si>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</si>
  <si>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</si>
  <si>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</si>
  <si>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</si>
  <si>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</si>
  <si>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</si>
  <si>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</si>
  <si>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</si>
  <si>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</si>
  <si>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</si>
  <si>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</si>
  <si>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</si>
  <si>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</si>
  <si>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</si>
  <si>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</si>
  <si>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</si>
  <si>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</si>
  <si>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</si>
  <si>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</si>
  <si>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</si>
  <si>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</si>
  <si>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</si>
  <si>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</si>
  <si>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</si>
  <si>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</si>
  <si>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</si>
  <si>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</si>
  <si>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</si>
  <si>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</si>
  <si>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</si>
  <si>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</si>
  <si>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</si>
  <si>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</si>
  <si>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</si>
  <si>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</si>
  <si>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</si>
  <si>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</si>
  <si>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</si>
  <si>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</si>
  <si>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</si>
  <si>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</si>
  <si>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</si>
  <si>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</si>
  <si>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</si>
  <si>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</si>
  <si>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</si>
  <si>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</si>
  <si>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</si>
  <si>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</si>
  <si>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</si>
  <si>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</si>
  <si>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</si>
  <si>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</si>
  <si>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</si>
  <si>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</si>
  <si>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</si>
  <si>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</si>
  <si>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</si>
  <si>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</si>
  <si>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</si>
  <si>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</si>
  <si>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</si>
  <si>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</si>
  <si>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</si>
  <si>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</si>
  <si>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</si>
  <si>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</si>
  <si>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</si>
  <si>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</si>
  <si>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</si>
  <si>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</si>
  <si>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</si>
  <si>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</si>
  <si>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</si>
  <si>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</si>
  <si>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</si>
  <si>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</si>
  <si>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</si>
  <si>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</si>
  <si>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</si>
  <si>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</si>
  <si>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</si>
  <si>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</si>
  <si>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</si>
  <si>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</si>
  <si>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</si>
  <si>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</si>
  <si>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</si>
  <si>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</si>
  <si>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</si>
  <si>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</si>
  <si>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</si>
  <si>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</si>
  <si>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</si>
  <si>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</si>
  <si>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</si>
  <si>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</si>
  <si>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</si>
  <si>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</si>
  <si>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</si>
  <si>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</si>
  <si>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</si>
  <si>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</si>
  <si>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</si>
  <si>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</si>
  <si>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</si>
  <si>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</si>
  <si>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</si>
  <si>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</si>
  <si>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</si>
  <si>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</si>
  <si>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</si>
  <si>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</si>
  <si>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</si>
  <si>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</si>
  <si>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</si>
  <si>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</si>
  <si>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</si>
  <si>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</si>
  <si>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</si>
  <si>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</si>
  <si>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</si>
  <si>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</si>
  <si>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</si>
  <si>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</si>
  <si>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</si>
  <si>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</si>
  <si>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</si>
  <si>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</si>
  <si>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</si>
  <si>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</si>
  <si>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</si>
  <si>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</si>
  <si>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</si>
  <si>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</si>
  <si>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</si>
  <si>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</si>
  <si>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</si>
  <si>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</si>
  <si>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</si>
  <si>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</si>
  <si>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</si>
  <si>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</si>
  <si>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</si>
  <si>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</si>
  <si>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</si>
  <si>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</si>
  <si>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</si>
  <si>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</si>
  <si>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</si>
  <si>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</si>
  <si>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</si>
  <si>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</si>
  <si>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</si>
  <si>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</si>
  <si>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</si>
  <si>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</si>
  <si>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</si>
  <si>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</si>
  <si>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</si>
  <si>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</si>
  <si>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</si>
  <si>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</si>
  <si>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</si>
  <si>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</si>
  <si>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</si>
  <si>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</si>
  <si>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</si>
  <si>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</si>
  <si>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</si>
  <si>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</si>
  <si>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</si>
  <si>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</si>
  <si>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</si>
  <si>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</si>
  <si>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</si>
  <si>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</si>
  <si>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</si>
  <si>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</si>
  <si>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</si>
  <si>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</si>
  <si>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</si>
  <si>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</si>
  <si>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</si>
  <si>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</si>
  <si>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</si>
  <si>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</si>
  <si>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</si>
  <si>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</si>
  <si>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</si>
  <si>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</si>
  <si>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</si>
  <si>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</si>
  <si>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</si>
  <si>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</si>
  <si>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</si>
  <si>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</si>
  <si>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</si>
  <si>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</si>
  <si>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</si>
  <si>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</si>
  <si>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</si>
  <si>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</si>
  <si>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</si>
  <si>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</si>
  <si>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</si>
  <si>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</si>
  <si>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</si>
  <si>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</si>
  <si>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</si>
  <si>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</si>
  <si>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</si>
  <si>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</si>
  <si>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</si>
  <si>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</si>
  <si>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</si>
  <si>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</si>
  <si>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</si>
  <si>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</si>
  <si>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</si>
  <si>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</si>
  <si>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</si>
  <si>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</si>
  <si>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</si>
  <si>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</si>
  <si>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</si>
  <si>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</si>
  <si>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</si>
  <si>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</si>
  <si>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</si>
  <si>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</si>
  <si>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</si>
  <si>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</si>
  <si>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</si>
  <si>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</si>
  <si>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</si>
  <si>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</si>
  <si>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</si>
  <si>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</si>
  <si>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</si>
  <si>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</si>
  <si>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</si>
  <si>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</si>
  <si>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</si>
  <si>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</si>
  <si>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</si>
  <si>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</si>
  <si>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</si>
  <si>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</si>
  <si>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</si>
  <si>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</si>
  <si>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</si>
  <si>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</si>
  <si>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</si>
  <si>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</si>
  <si>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</si>
  <si>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</si>
  <si>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</si>
  <si>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</si>
  <si>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</si>
  <si>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</si>
  <si>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</si>
  <si>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</si>
  <si>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</si>
  <si>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</si>
  <si>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</si>
  <si>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</si>
  <si>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</si>
  <si>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</si>
  <si>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</si>
  <si>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</si>
  <si>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</si>
  <si>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</si>
  <si>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</si>
  <si>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</si>
  <si>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</si>
  <si>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</si>
  <si>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</si>
  <si>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</si>
  <si>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</si>
  <si>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</si>
  <si>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</si>
  <si>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</si>
  <si>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</si>
  <si>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</si>
  <si>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</si>
  <si>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</si>
  <si>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</si>
  <si>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</si>
  <si>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</si>
  <si>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</si>
  <si>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</si>
  <si>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</si>
  <si>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</si>
  <si>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</si>
  <si>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</si>
  <si>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</si>
  <si>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</si>
  <si>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</si>
  <si>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</si>
  <si>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</si>
  <si>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</si>
  <si>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</si>
  <si>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</si>
  <si>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</si>
  <si>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</si>
  <si>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</si>
  <si>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</si>
  <si>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</si>
  <si>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</si>
  <si>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</si>
  <si>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</si>
  <si>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</si>
  <si>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</si>
  <si>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</si>
  <si>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</si>
  <si>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</si>
  <si>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</si>
  <si>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</si>
  <si>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</si>
  <si>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</si>
  <si>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</si>
  <si>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</si>
  <si>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</si>
  <si>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</si>
  <si>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</si>
  <si>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</si>
  <si>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</si>
  <si>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</si>
  <si>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</si>
  <si>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</si>
  <si>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</si>
  <si>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</si>
  <si>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</si>
  <si>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</si>
  <si>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</si>
  <si>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</si>
  <si>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</si>
  <si>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</si>
  <si>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</si>
  <si>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</si>
  <si>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</si>
  <si>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</si>
  <si>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</si>
  <si>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</si>
  <si>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</si>
  <si>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</si>
  <si>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</si>
  <si>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</si>
  <si>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</si>
  <si>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</si>
  <si>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</si>
  <si>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</si>
  <si>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</si>
  <si>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</si>
  <si>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</si>
  <si>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</si>
  <si>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</si>
  <si>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</si>
  <si>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</si>
  <si>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</si>
  <si>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</si>
  <si>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</si>
  <si>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</si>
  <si>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</si>
  <si>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</si>
  <si>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</si>
  <si>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</si>
  <si>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</si>
  <si>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</si>
  <si>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</si>
  <si>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</si>
  <si>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</si>
  <si>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</si>
  <si>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</si>
  <si>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</si>
  <si>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</si>
  <si>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</si>
  <si>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</si>
  <si>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</si>
  <si>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</si>
  <si>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</si>
  <si>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</si>
  <si>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</si>
  <si>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</si>
  <si>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</si>
  <si>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</si>
  <si>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</si>
  <si>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</si>
  <si>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</si>
  <si>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</si>
  <si>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</si>
  <si>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</si>
  <si>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</si>
  <si>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</si>
  <si>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</si>
  <si>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</si>
  <si>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</si>
  <si>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</si>
  <si>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</si>
  <si>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</si>
  <si>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</si>
  <si>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</si>
  <si>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</si>
  <si>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</si>
  <si>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</si>
  <si>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</si>
  <si>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</si>
  <si>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</si>
  <si>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</si>
  <si>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</si>
  <si>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</si>
  <si>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</si>
  <si>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</si>
  <si>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</si>
  <si>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</si>
  <si>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</si>
  <si>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</si>
  <si>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</si>
  <si>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</si>
  <si>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</si>
  <si>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</si>
  <si>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</si>
  <si>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</si>
  <si>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</si>
  <si>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</si>
  <si>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</si>
  <si>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</si>
  <si>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</si>
  <si>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</si>
  <si>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</si>
  <si>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</si>
  <si>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</si>
  <si>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</si>
  <si>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</si>
  <si>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</si>
  <si>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</si>
  <si>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</si>
  <si>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</si>
  <si>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</si>
  <si>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</si>
  <si>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</si>
  <si>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</si>
  <si>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</si>
  <si>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</si>
  <si>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</si>
  <si>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</si>
  <si>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</si>
  <si>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</si>
  <si>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</si>
  <si>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</si>
  <si>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</si>
  <si>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</si>
  <si>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</si>
  <si>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</si>
  <si>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</si>
  <si>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</si>
  <si>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</si>
  <si>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</si>
  <si>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</si>
  <si>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</si>
  <si>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</si>
  <si>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</si>
  <si>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</si>
  <si>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</si>
  <si>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</si>
  <si>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</si>
  <si>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</si>
  <si>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</si>
  <si>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</si>
  <si>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</si>
  <si>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</si>
  <si>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</si>
  <si>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</si>
  <si>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</si>
  <si>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</si>
  <si>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</si>
  <si>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</si>
  <si>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</si>
  <si>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</si>
  <si>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</si>
  <si>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</si>
  <si>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</si>
  <si>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</si>
  <si>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</si>
  <si>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</si>
  <si>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</si>
  <si>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</si>
  <si>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</si>
  <si>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</si>
  <si>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</si>
  <si>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</si>
  <si>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</si>
  <si>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</si>
  <si>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</si>
  <si>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</si>
  <si>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</si>
  <si>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</si>
  <si>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</si>
  <si>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</si>
  <si>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</si>
  <si>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</si>
  <si>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</si>
  <si>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</si>
  <si>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</si>
  <si>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</si>
  <si>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</si>
  <si>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</si>
  <si>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</si>
  <si>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</si>
  <si>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</si>
  <si>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</si>
  <si>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</si>
  <si>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</si>
  <si>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</si>
  <si>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</si>
  <si>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</si>
  <si>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</si>
  <si>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</si>
  <si>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</si>
  <si>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</si>
  <si>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</si>
  <si>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</si>
  <si>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</si>
  <si>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</si>
  <si>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</si>
  <si>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</si>
  <si>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</si>
  <si>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</si>
  <si>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</si>
  <si>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</si>
  <si>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</si>
  <si>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</si>
  <si>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</si>
  <si>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</si>
  <si>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</si>
  <si>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</si>
  <si>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</si>
  <si>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</si>
  <si>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</si>
  <si>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</si>
  <si>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</si>
  <si>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</si>
  <si>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</si>
  <si>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</si>
  <si>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</si>
  <si>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</si>
  <si>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</si>
  <si>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</si>
  <si>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</si>
  <si>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</si>
  <si>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</si>
  <si>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</si>
  <si>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</si>
  <si>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</si>
  <si>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</si>
  <si>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</si>
  <si>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</si>
  <si>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</si>
  <si>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</si>
  <si>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</si>
  <si>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</si>
  <si>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</si>
  <si>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</si>
  <si>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</si>
  <si>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</si>
  <si>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</si>
  <si>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</si>
  <si>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</si>
  <si>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</si>
  <si>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</si>
  <si>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</si>
  <si>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</si>
  <si>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</si>
  <si>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</si>
  <si>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</si>
  <si>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</si>
  <si>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</si>
  <si>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</si>
  <si>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</si>
  <si>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</si>
  <si>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</si>
  <si>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</si>
  <si>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</si>
  <si>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</si>
  <si>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</si>
  <si>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</si>
  <si>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</si>
  <si>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</si>
  <si>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</si>
  <si>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</si>
  <si>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</si>
  <si>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</si>
  <si>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</si>
  <si>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</si>
  <si>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</si>
  <si>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</si>
  <si>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</si>
  <si>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</si>
  <si>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</si>
  <si>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</si>
  <si>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</si>
  <si>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</si>
  <si>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</si>
  <si>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</si>
  <si>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</si>
  <si>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</si>
  <si>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</si>
  <si>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</si>
  <si>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</si>
  <si>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</si>
  <si>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</si>
  <si>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</si>
  <si>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</si>
  <si>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</si>
  <si>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</si>
  <si>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</si>
  <si>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</si>
  <si>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</si>
  <si>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</si>
  <si>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</si>
  <si>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</si>
  <si>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</si>
  <si>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</si>
  <si>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</si>
  <si>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</si>
  <si>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</si>
  <si>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</si>
  <si>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</si>
  <si>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</si>
  <si>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</si>
  <si>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</si>
  <si>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</si>
  <si>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</si>
  <si>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</si>
  <si>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</si>
  <si>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</si>
  <si>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</si>
  <si>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</si>
  <si>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</si>
  <si>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</si>
  <si>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</si>
  <si>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</si>
  <si>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</si>
  <si>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</si>
  <si>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</si>
  <si>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</si>
  <si>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</si>
  <si>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</si>
  <si>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</si>
  <si>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</si>
  <si>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</si>
  <si>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</si>
  <si>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</si>
  <si>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</si>
  <si>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</si>
  <si>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</si>
  <si>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</si>
  <si>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</si>
  <si>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</si>
  <si>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</si>
  <si>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</si>
  <si>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</si>
  <si>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</si>
  <si>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</si>
  <si>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</si>
  <si>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</si>
  <si>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</si>
  <si>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</si>
  <si>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</si>
  <si>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</si>
  <si>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</si>
  <si>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</si>
  <si>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</si>
  <si>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</si>
  <si>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</si>
  <si>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</si>
  <si>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</si>
  <si>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</si>
  <si>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</si>
  <si>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</si>
  <si>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</si>
  <si>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</si>
  <si>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</si>
  <si>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</si>
  <si>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</si>
  <si>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</si>
  <si>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</si>
  <si>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</si>
  <si>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</si>
  <si>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</si>
  <si>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</si>
  <si>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</si>
  <si>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</si>
  <si>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</si>
  <si>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</si>
  <si>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</si>
  <si>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</si>
  <si>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</si>
  <si>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</si>
  <si>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</si>
  <si>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</si>
  <si>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</si>
  <si>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</si>
  <si>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</si>
  <si>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</si>
  <si>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</si>
  <si>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</si>
  <si>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</si>
  <si>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</si>
  <si>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</si>
  <si>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</si>
  <si>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</si>
  <si>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</si>
  <si>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</si>
  <si>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</si>
  <si>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</si>
  <si>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</si>
  <si>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</si>
  <si>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</si>
  <si>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</si>
  <si>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</si>
  <si>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</si>
  <si>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</si>
  <si>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</si>
  <si>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</si>
  <si>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</si>
  <si>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</si>
  <si>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</si>
  <si>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</si>
  <si>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</si>
  <si>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</si>
  <si>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</si>
  <si>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</si>
  <si>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</si>
  <si>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</si>
  <si>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</si>
  <si>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</si>
  <si>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</si>
  <si>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</si>
  <si>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</si>
  <si>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</si>
  <si>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</si>
  <si>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</si>
  <si>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</si>
  <si>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</si>
  <si>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</si>
  <si>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</si>
  <si>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</si>
  <si>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</si>
  <si>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</si>
  <si>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</si>
  <si>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</si>
  <si>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</si>
  <si>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</si>
  <si>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</si>
  <si>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</si>
  <si>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</si>
  <si>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</si>
  <si>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</si>
  <si>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</si>
  <si>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</si>
  <si>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</si>
  <si>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</si>
  <si>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</si>
  <si>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</si>
  <si>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</si>
  <si>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</si>
  <si>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</si>
  <si>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</si>
  <si>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</si>
  <si>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</si>
  <si>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</si>
  <si>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</si>
  <si>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</si>
  <si>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</si>
  <si>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</si>
  <si>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</si>
  <si>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</si>
  <si>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</si>
  <si>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</si>
  <si>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</si>
  <si>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</si>
  <si>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</si>
  <si>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</si>
  <si>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</si>
  <si>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</si>
  <si>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</si>
  <si>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</si>
  <si>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</si>
  <si>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</si>
  <si>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</si>
  <si>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</si>
  <si>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</si>
  <si>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</si>
  <si>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</si>
  <si>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</si>
  <si>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</si>
  <si>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</si>
  <si>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</si>
  <si>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</si>
  <si>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</si>
  <si>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</si>
  <si>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</si>
  <si>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</si>
  <si>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</si>
  <si>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</si>
  <si>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</si>
  <si>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</si>
  <si>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</si>
  <si>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</si>
  <si>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</si>
  <si>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</si>
  <si>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</si>
  <si>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</si>
  <si>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</si>
  <si>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</si>
  <si>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</si>
  <si>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</si>
  <si>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</si>
  <si>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</si>
  <si>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</si>
  <si>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</si>
  <si>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</si>
  <si>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</si>
  <si>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</si>
  <si>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</si>
  <si>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</si>
  <si>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</si>
  <si>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</si>
  <si>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</si>
  <si>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</si>
  <si>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</si>
  <si>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</si>
  <si>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</si>
  <si>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</si>
  <si>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</si>
  <si>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</si>
  <si>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</si>
  <si>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</si>
  <si>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</si>
  <si>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</si>
  <si>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</si>
  <si>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</si>
  <si>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</si>
  <si>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</si>
  <si>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</si>
  <si>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</si>
  <si>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</si>
  <si>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</si>
  <si>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</si>
  <si>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</si>
  <si>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</si>
  <si>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</si>
  <si>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</si>
  <si>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</si>
  <si>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</si>
  <si>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</si>
  <si>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</si>
  <si>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</si>
  <si>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</si>
  <si>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</si>
  <si>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</si>
  <si>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</si>
  <si>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</si>
  <si>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</si>
  <si>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</si>
  <si>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</si>
  <si>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</si>
  <si>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</si>
  <si>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</si>
  <si>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</si>
  <si>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</si>
  <si>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</si>
  <si>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</si>
  <si>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</si>
  <si>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</si>
  <si>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</si>
  <si>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</si>
  <si>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</si>
  <si>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</si>
  <si>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</si>
  <si>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</si>
  <si>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</si>
  <si>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</si>
  <si>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</si>
  <si>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</si>
  <si>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</si>
  <si>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</si>
  <si>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</si>
  <si>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</si>
  <si>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</si>
  <si>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</si>
  <si>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</si>
  <si>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</si>
  <si>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</si>
  <si>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</si>
  <si>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</si>
  <si>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</si>
  <si>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</si>
  <si>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</si>
  <si>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</si>
  <si>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</si>
  <si>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</si>
  <si>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</si>
  <si>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</si>
  <si>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</si>
  <si>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</si>
  <si>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</si>
  <si>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</si>
  <si>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</si>
  <si>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</si>
  <si>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</si>
  <si>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</si>
  <si>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</si>
  <si>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</si>
  <si>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</si>
  <si>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</si>
  <si>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</si>
  <si>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</si>
  <si>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</si>
  <si>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</si>
  <si>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</si>
  <si>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</si>
  <si>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</si>
  <si>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</si>
  <si>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</si>
  <si>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</si>
  <si>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</si>
  <si>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</si>
  <si>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</si>
  <si>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</si>
  <si>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</si>
  <si>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</si>
  <si>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</si>
  <si>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</si>
  <si>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</si>
  <si>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</si>
  <si>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</si>
  <si>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</si>
  <si>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</si>
  <si>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</si>
  <si>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</si>
  <si>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</si>
  <si>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</si>
  <si>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</si>
  <si>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</si>
  <si>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</si>
  <si>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</si>
  <si>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</si>
  <si>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</si>
  <si>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</si>
  <si>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</si>
  <si>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</si>
  <si>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</si>
  <si>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</si>
  <si>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</si>
  <si>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</si>
  <si>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</si>
  <si>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</si>
  <si>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</si>
  <si>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</si>
  <si>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</si>
  <si>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</si>
  <si>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</si>
  <si>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</si>
  <si>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</si>
  <si>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</si>
  <si>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</si>
  <si>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</si>
  <si>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</si>
  <si>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</si>
  <si>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</si>
  <si>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</si>
  <si>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</si>
  <si>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</si>
  <si>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</si>
  <si>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</si>
  <si>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</si>
  <si>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</si>
  <si>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</si>
  <si>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</si>
  <si>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</si>
  <si>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</si>
  <si>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</si>
  <si>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</si>
  <si>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</si>
  <si>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</si>
  <si>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</si>
  <si>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</si>
  <si>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</si>
  <si>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</si>
  <si>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</si>
  <si>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</si>
  <si>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</si>
  <si>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</si>
  <si>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</si>
  <si>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</si>
  <si>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</si>
  <si>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</si>
  <si>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</si>
  <si>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</si>
  <si>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</si>
  <si>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</si>
  <si>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</si>
  <si>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</si>
  <si>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</si>
  <si>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</si>
  <si>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</si>
  <si>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</si>
  <si>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</si>
  <si>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</si>
  <si>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</si>
  <si>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</si>
  <si>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</si>
  <si>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</si>
  <si>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</si>
  <si>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</si>
  <si>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</si>
  <si>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</si>
  <si>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</si>
  <si>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</si>
  <si>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</si>
  <si>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</si>
  <si>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</si>
  <si>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</si>
  <si>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</si>
  <si>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</si>
  <si>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</si>
  <si>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</si>
  <si>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</si>
  <si>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</si>
  <si>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</si>
  <si>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</si>
  <si>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</si>
  <si>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</si>
  <si>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</si>
  <si>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</si>
  <si>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</si>
  <si>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</si>
  <si>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</si>
  <si>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</si>
  <si>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</si>
  <si>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</si>
  <si>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</si>
  <si>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</si>
  <si>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</si>
  <si>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</si>
  <si>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</si>
  <si>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</si>
  <si>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</si>
  <si>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</si>
  <si>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</si>
  <si>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</si>
  <si>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</si>
  <si>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</si>
  <si>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</si>
  <si>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</si>
  <si>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</si>
  <si>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</si>
  <si>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</si>
  <si>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</si>
  <si>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</si>
  <si>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</si>
  <si>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</si>
  <si>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</si>
  <si>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</si>
  <si>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</si>
  <si>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</si>
  <si>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</si>
  <si>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</si>
  <si>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</si>
  <si>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</si>
  <si>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</si>
  <si>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</si>
  <si>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</si>
  <si>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</si>
  <si>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</si>
  <si>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</si>
  <si>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</si>
  <si>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</si>
  <si>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</si>
  <si>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</si>
  <si>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</si>
  <si>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</si>
  <si>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</si>
  <si>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</si>
  <si>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</si>
  <si>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</si>
  <si>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</si>
  <si>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</si>
  <si>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</si>
  <si>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</si>
  <si>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</si>
  <si>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</si>
  <si>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</si>
  <si>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</si>
  <si>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</si>
  <si>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</si>
  <si>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</si>
  <si>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</si>
  <si>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</si>
  <si>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</si>
  <si>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</si>
  <si>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</si>
  <si>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</si>
  <si>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</si>
  <si>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</si>
  <si>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</si>
  <si>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</si>
  <si>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</si>
  <si>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</si>
  <si>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</si>
  <si>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</si>
  <si>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</si>
  <si>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</si>
  <si>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</si>
  <si>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</si>
  <si>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</si>
  <si>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</si>
  <si>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</si>
  <si>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</si>
  <si>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</si>
  <si>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</si>
  <si>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</si>
  <si>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</si>
  <si>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</si>
  <si>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</si>
  <si>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</si>
  <si>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</si>
  <si>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</si>
  <si>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</si>
  <si>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</si>
  <si>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</si>
  <si>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</si>
  <si>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</si>
  <si>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</si>
  <si>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</si>
  <si>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</si>
  <si>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</si>
  <si>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</si>
  <si>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</si>
  <si>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</si>
  <si>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</si>
  <si>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</si>
  <si>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</si>
  <si>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</si>
  <si>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</si>
  <si>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</si>
  <si>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</si>
  <si>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</si>
  <si>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</si>
  <si>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</si>
  <si>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</si>
  <si>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</si>
  <si>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</si>
  <si>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</si>
  <si>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</si>
  <si>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</si>
  <si>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</si>
  <si>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</si>
  <si>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</si>
  <si>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</si>
  <si>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</si>
  <si>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</si>
  <si>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</si>
  <si>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</si>
  <si>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</si>
  <si>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</si>
  <si>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</si>
  <si>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</si>
  <si>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</si>
  <si>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</si>
  <si>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</si>
  <si>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</si>
  <si>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</si>
  <si>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</si>
  <si>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</si>
  <si>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</si>
  <si>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</si>
  <si>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</si>
  <si>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</si>
  <si>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</si>
  <si>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</si>
  <si>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</si>
  <si>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</si>
  <si>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</si>
  <si>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</si>
  <si>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</si>
  <si>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</si>
  <si>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</si>
  <si>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</si>
  <si>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</si>
  <si>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</si>
  <si>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</si>
  <si>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</si>
  <si>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</si>
  <si>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</si>
  <si>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</si>
  <si>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</si>
  <si>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</si>
  <si>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</si>
  <si>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</si>
  <si>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</si>
  <si>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</si>
  <si>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</si>
  <si>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</si>
  <si>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</si>
  <si>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</si>
  <si>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</si>
  <si>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</si>
  <si>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</si>
  <si>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</si>
  <si>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</si>
  <si>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</si>
  <si>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</si>
  <si>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</si>
  <si>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</si>
  <si>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</si>
  <si>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</si>
  <si>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</si>
  <si>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</si>
  <si>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</si>
  <si>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</si>
  <si>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</si>
  <si>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</si>
  <si>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</si>
  <si>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</si>
  <si>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</si>
  <si>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</si>
  <si>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</si>
  <si>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</si>
  <si>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</si>
  <si>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</si>
  <si>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</si>
  <si>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</si>
  <si>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</si>
  <si>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</si>
  <si>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</si>
  <si>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</si>
  <si>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</si>
  <si>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</si>
  <si>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</si>
  <si>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</si>
  <si>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</si>
  <si>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</si>
  <si>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</si>
  <si>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</si>
  <si>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</si>
  <si>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</si>
  <si>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</si>
  <si>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</si>
  <si>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</si>
  <si>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</si>
  <si>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</si>
  <si>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</si>
  <si>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</si>
  <si>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</si>
  <si>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</si>
  <si>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</si>
  <si>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</si>
  <si>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</si>
  <si>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</si>
  <si>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</si>
  <si>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</si>
  <si>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</si>
  <si>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</si>
  <si>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</si>
  <si>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</si>
  <si>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</si>
  <si>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</si>
  <si>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</si>
  <si>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</si>
  <si>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</si>
  <si>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</si>
  <si>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</si>
  <si>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</si>
  <si>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</si>
  <si>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</si>
  <si>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</si>
  <si>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</si>
  <si>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</si>
  <si>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</si>
  <si>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</si>
  <si>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</si>
  <si>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</si>
  <si>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</si>
  <si>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</si>
  <si>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</si>
  <si>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</si>
  <si>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</si>
  <si>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</si>
  <si>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</si>
  <si>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</si>
  <si>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</si>
  <si>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</si>
  <si>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</si>
  <si>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</si>
  <si>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</si>
  <si>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</si>
  <si>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</si>
  <si>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</si>
  <si>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</si>
  <si>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</si>
  <si>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</si>
  <si>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</si>
  <si>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</si>
  <si>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</si>
  <si>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</si>
  <si>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</si>
  <si>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</si>
  <si>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</si>
  <si>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</si>
  <si>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</si>
  <si>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</si>
  <si>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</si>
  <si>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</si>
  <si>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</si>
  <si>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</si>
  <si>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</si>
  <si>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</si>
  <si>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</si>
  <si>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</si>
  <si>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</si>
  <si>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</si>
  <si>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</si>
  <si>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</si>
  <si>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</si>
  <si>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</si>
  <si>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</si>
  <si>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</si>
  <si>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</si>
  <si>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</si>
  <si>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</si>
  <si>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</si>
  <si>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</si>
  <si>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</si>
  <si>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</si>
  <si>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</si>
  <si>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</si>
  <si>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</si>
  <si>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</si>
  <si>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</si>
  <si>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</si>
  <si>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</si>
  <si>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</si>
  <si>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</si>
  <si>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</si>
  <si>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</si>
  <si>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</si>
  <si>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</si>
  <si>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</si>
  <si>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</si>
  <si>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</si>
  <si>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</si>
  <si>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</si>
  <si>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</si>
  <si>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</si>
  <si>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</si>
  <si>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</si>
  <si>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</si>
  <si>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</si>
  <si>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</si>
  <si>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</si>
  <si>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</si>
  <si>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</si>
  <si>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</si>
  <si>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</si>
  <si>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</si>
  <si>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</si>
  <si>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</si>
  <si>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</si>
  <si>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</si>
  <si>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</si>
  <si>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</si>
  <si>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</si>
  <si>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</si>
  <si>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</si>
  <si>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</si>
  <si>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</si>
  <si>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</si>
  <si>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</si>
  <si>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</si>
  <si>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</si>
  <si>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</si>
  <si>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</si>
  <si>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</si>
  <si>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</si>
  <si>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</si>
  <si>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</si>
  <si>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</si>
  <si>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</si>
  <si>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</si>
  <si>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</si>
  <si>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</si>
  <si>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</si>
  <si>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</si>
  <si>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</si>
  <si>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</si>
  <si>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</si>
  <si>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</si>
  <si>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</si>
  <si>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</si>
  <si>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</si>
  <si>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</si>
  <si>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</si>
  <si>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</si>
  <si>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</si>
  <si>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</si>
  <si>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</si>
  <si>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</si>
  <si>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</si>
  <si>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</si>
  <si>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</si>
  <si>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</si>
  <si>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</si>
  <si>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</si>
  <si>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</si>
  <si>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</si>
  <si>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</si>
  <si>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</si>
  <si>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</si>
  <si>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</si>
  <si>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</si>
  <si>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</si>
  <si>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</si>
  <si>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</si>
  <si>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</si>
  <si>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</si>
  <si>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</si>
  <si>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</si>
  <si>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</si>
  <si>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</si>
  <si>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</si>
  <si>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</si>
  <si>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</si>
  <si>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</si>
  <si>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</si>
  <si>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</si>
  <si>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</si>
  <si>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</si>
  <si>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</si>
  <si>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</si>
  <si>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</si>
  <si>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</si>
  <si>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</si>
  <si>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</si>
  <si>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</si>
  <si>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</si>
  <si>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</si>
  <si>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</si>
  <si>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</si>
  <si>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</si>
  <si>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</si>
  <si>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</si>
  <si>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</si>
  <si>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</si>
  <si>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</si>
  <si>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</si>
  <si>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</si>
  <si>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</si>
  <si>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</si>
  <si>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</si>
  <si>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</si>
  <si>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</si>
  <si>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</si>
  <si>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</si>
  <si>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</si>
  <si>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</si>
  <si>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</si>
  <si>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</si>
  <si>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</si>
  <si>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</si>
  <si>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</si>
  <si>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</si>
  <si>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</si>
  <si>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</si>
  <si>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</si>
  <si>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</si>
  <si>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</si>
  <si>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</si>
  <si>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</si>
  <si>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</si>
  <si>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</si>
  <si>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</si>
  <si>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</si>
  <si>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</si>
  <si>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</si>
  <si>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</si>
  <si>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</si>
  <si>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</si>
  <si>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</si>
  <si>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</si>
  <si>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</si>
  <si>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</si>
  <si>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</si>
  <si>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</si>
  <si>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</si>
  <si>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</si>
  <si>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</si>
  <si>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</si>
  <si>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</si>
  <si>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</si>
  <si>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</si>
  <si>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</si>
  <si>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</si>
  <si>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</si>
  <si>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</si>
  <si>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</si>
  <si>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</si>
  <si>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</si>
  <si>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</si>
  <si>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</si>
  <si>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</si>
  <si>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</si>
  <si>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</si>
  <si>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</si>
  <si>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</si>
  <si>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</si>
  <si>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</si>
  <si>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</si>
  <si>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</si>
  <si>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</si>
  <si>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</si>
  <si>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</si>
  <si>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</si>
  <si>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</si>
  <si>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</si>
  <si>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</si>
  <si>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</si>
  <si>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</si>
  <si>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</si>
  <si>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</si>
  <si>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</si>
  <si>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</si>
  <si>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</si>
  <si>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</si>
  <si>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</si>
  <si>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</si>
  <si>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</si>
  <si>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</si>
  <si>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</si>
  <si>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</si>
  <si>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</si>
  <si>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</si>
  <si>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</si>
  <si>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</si>
  <si>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</si>
  <si>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</si>
  <si>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</si>
  <si>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</si>
  <si>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</si>
  <si>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</si>
  <si>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</si>
  <si>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</si>
  <si>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</si>
  <si>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</si>
  <si>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</si>
  <si>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</si>
  <si>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</si>
  <si>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</si>
  <si>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</si>
  <si>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</si>
  <si>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</si>
  <si>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</si>
  <si>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</si>
  <si>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</si>
  <si>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</si>
  <si>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</si>
  <si>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</si>
  <si>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</si>
  <si>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</si>
  <si>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</si>
  <si>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</si>
  <si>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</si>
  <si>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</si>
  <si>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</si>
  <si>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</si>
  <si>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</si>
  <si>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</si>
  <si>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</si>
  <si>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</si>
  <si>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</si>
  <si>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</si>
  <si>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</si>
  <si>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</si>
  <si>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</si>
  <si>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</si>
  <si>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</si>
  <si>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</si>
  <si>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</si>
  <si>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</si>
  <si>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</si>
  <si>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</si>
  <si>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</si>
  <si>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</si>
  <si>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</si>
  <si>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</si>
  <si>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</si>
  <si>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</si>
  <si>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</si>
  <si>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</si>
  <si>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</si>
  <si>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</si>
  <si>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</si>
  <si>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</si>
  <si>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</si>
  <si>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</si>
  <si>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</si>
  <si>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</si>
  <si>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</si>
  <si>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</si>
  <si>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</si>
  <si>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</si>
  <si>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</si>
  <si>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</si>
  <si>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</si>
  <si>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</si>
  <si>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</si>
  <si>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</si>
  <si>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</si>
  <si>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</si>
  <si>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</si>
  <si>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</si>
  <si>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</si>
  <si>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</si>
  <si>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</si>
  <si>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</si>
  <si>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</si>
  <si>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</si>
  <si>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</si>
  <si>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</si>
  <si>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</si>
  <si>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</si>
  <si>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</si>
  <si>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</si>
  <si>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</si>
  <si>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</si>
  <si>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</si>
  <si>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</si>
  <si>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</si>
  <si>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</si>
  <si>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</si>
  <si>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</si>
  <si>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</si>
  <si>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</si>
  <si>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</si>
  <si>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</si>
  <si>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</si>
  <si>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</si>
  <si>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</si>
  <si>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</si>
  <si>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</si>
  <si>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</si>
  <si>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</si>
  <si>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</si>
  <si>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</si>
  <si>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</si>
  <si>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</si>
  <si>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</si>
  <si>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</si>
  <si>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</si>
  <si>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</si>
  <si>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</si>
  <si>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</si>
  <si>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</si>
  <si>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</si>
  <si>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</si>
  <si>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</si>
  <si>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</si>
  <si>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</si>
  <si>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</si>
  <si>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</si>
  <si>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</si>
  <si>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</si>
  <si>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</si>
  <si>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</si>
  <si>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</si>
  <si>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</si>
  <si>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</si>
  <si>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</si>
  <si>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</si>
  <si>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</si>
  <si>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</si>
  <si>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</si>
  <si>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</si>
  <si>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</si>
  <si>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</si>
  <si>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</si>
  <si>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</si>
  <si>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</si>
  <si>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</si>
  <si>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</si>
  <si>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</si>
  <si>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</si>
  <si>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</si>
  <si>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</si>
  <si>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</si>
  <si>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</si>
  <si>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</si>
  <si>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</si>
  <si>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</si>
  <si>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</si>
  <si>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</si>
  <si>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</si>
  <si>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</si>
  <si>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</si>
  <si>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</si>
  <si>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</si>
  <si>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</si>
  <si>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</si>
  <si>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</si>
  <si>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</si>
  <si>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</si>
  <si>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</si>
  <si>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</si>
  <si>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</si>
  <si>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</si>
  <si>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</si>
  <si>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</si>
  <si>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</si>
  <si>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</si>
  <si>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</si>
  <si>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</si>
  <si>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</si>
  <si>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</si>
  <si>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</si>
  <si>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</si>
  <si>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</si>
  <si>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</si>
  <si>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</si>
  <si>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</si>
  <si>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</si>
  <si>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</si>
  <si>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</si>
  <si>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</si>
  <si>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</si>
  <si>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</si>
  <si>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</si>
  <si>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</si>
  <si>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</si>
  <si>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</si>
  <si>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</si>
  <si>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</si>
  <si>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</si>
  <si>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</si>
  <si>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</si>
  <si>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</si>
  <si>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</si>
  <si>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</si>
  <si>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</si>
  <si>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</si>
  <si>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</si>
  <si>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</si>
  <si>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</si>
  <si>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</si>
  <si>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</si>
  <si>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</si>
  <si>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</si>
  <si>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</si>
  <si>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</si>
  <si>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</si>
  <si>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</si>
  <si>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</si>
  <si>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</si>
  <si>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</si>
  <si>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</si>
  <si>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</si>
  <si>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</si>
  <si>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</si>
  <si>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</si>
  <si>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</si>
  <si>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</si>
  <si>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</si>
  <si>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</si>
  <si>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</si>
  <si>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</si>
  <si>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</si>
  <si>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</si>
  <si>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</si>
  <si>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</si>
  <si>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</si>
  <si>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</si>
  <si>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</si>
  <si>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</si>
  <si>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</si>
  <si>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</si>
  <si>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</si>
  <si>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</si>
  <si>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</si>
  <si>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</si>
  <si>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</si>
  <si>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</si>
  <si>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</si>
  <si>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</si>
  <si>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</si>
  <si>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</si>
  <si>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</si>
  <si>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</si>
  <si>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</si>
  <si>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</si>
  <si>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</si>
  <si>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</si>
  <si>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</si>
  <si>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</si>
  <si>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</si>
  <si>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</si>
  <si>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</si>
  <si>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</si>
  <si>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</si>
  <si>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</si>
  <si>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</si>
  <si>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</si>
  <si>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</si>
  <si>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</si>
  <si>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</si>
  <si>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</si>
  <si>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</si>
  <si>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</si>
  <si>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</si>
  <si>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</si>
  <si>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</si>
  <si>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</si>
  <si>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</si>
  <si>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</si>
  <si>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</si>
  <si>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</si>
  <si>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</si>
  <si>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</si>
  <si>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</si>
  <si>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</si>
  <si>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</si>
  <si>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</si>
  <si>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</si>
  <si>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</si>
  <si>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</si>
  <si>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</si>
  <si>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</si>
  <si>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</si>
  <si>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</si>
  <si>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</si>
  <si>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</si>
  <si>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</si>
  <si>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</si>
  <si>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</si>
  <si>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</si>
  <si>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</si>
  <si>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</si>
  <si>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</si>
  <si>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</si>
  <si>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</si>
  <si>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</si>
  <si>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</si>
  <si>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</si>
  <si>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</si>
  <si>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</si>
  <si>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</si>
  <si>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</si>
  <si>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</si>
  <si>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</si>
  <si>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</si>
  <si>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</si>
  <si>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</si>
  <si>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</si>
  <si>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</si>
  <si>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</si>
  <si>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</si>
  <si>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</si>
  <si>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</si>
  <si>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</si>
  <si>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</si>
  <si>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</si>
  <si>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</si>
  <si>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</si>
  <si>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</si>
  <si>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</si>
  <si>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</si>
  <si>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</si>
  <si>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</si>
  <si>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</si>
  <si>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</si>
  <si>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</si>
  <si>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</si>
  <si>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</si>
  <si>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</si>
  <si>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</si>
  <si>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</si>
  <si>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</si>
  <si>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</si>
  <si>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</si>
  <si>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</si>
  <si>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</si>
  <si>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</si>
  <si>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</si>
  <si>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</si>
  <si>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</si>
  <si>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</si>
  <si>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</si>
  <si>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</si>
  <si>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</si>
  <si>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</si>
  <si>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</si>
  <si>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</si>
  <si>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</si>
  <si>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</si>
  <si>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</si>
  <si>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</si>
  <si>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</si>
  <si>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</si>
  <si>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</si>
  <si>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</si>
  <si>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</si>
  <si>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</si>
  <si>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</si>
  <si>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</si>
  <si>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</si>
  <si>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</si>
  <si>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</si>
  <si>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</si>
  <si>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</si>
  <si>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</si>
  <si>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</si>
  <si>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</si>
  <si>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</si>
  <si>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</si>
  <si>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</si>
  <si>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</si>
  <si>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</si>
  <si>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</si>
  <si>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</si>
  <si>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</si>
  <si>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</si>
  <si>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</si>
  <si>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</si>
  <si>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</si>
  <si>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</si>
  <si>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</si>
  <si>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</si>
  <si>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</si>
  <si>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</si>
  <si>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</si>
  <si>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</si>
  <si>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</si>
  <si>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</si>
  <si>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</si>
  <si>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</si>
  <si>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</si>
  <si>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</si>
  <si>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</si>
  <si>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</si>
  <si>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</si>
  <si>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</si>
  <si>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</si>
  <si>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</si>
  <si>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</si>
  <si>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</si>
  <si>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</si>
  <si>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</si>
  <si>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</si>
  <si>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</si>
  <si>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</si>
  <si>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</si>
  <si>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</si>
  <si>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</si>
  <si>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</si>
  <si>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</si>
  <si>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</si>
  <si>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</si>
  <si>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</si>
  <si>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</si>
  <si>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</si>
  <si>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</si>
  <si>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</si>
  <si>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</si>
  <si>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</si>
  <si>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</si>
  <si>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</si>
  <si>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</si>
  <si>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</si>
  <si>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</si>
  <si>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</si>
  <si>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</si>
  <si>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</si>
  <si>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</si>
  <si>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</si>
  <si>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</si>
  <si>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</si>
  <si>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</si>
  <si>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</si>
  <si>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</si>
  <si>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</si>
  <si>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</si>
  <si>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</si>
  <si>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</si>
  <si>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</si>
  <si>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</si>
  <si>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</si>
  <si>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</si>
  <si>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</si>
  <si>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</si>
  <si>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</si>
  <si>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</si>
  <si>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</si>
  <si>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</si>
  <si>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</si>
  <si>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</si>
  <si>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</si>
  <si>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</si>
  <si>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</si>
  <si>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</si>
  <si>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</si>
  <si>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</si>
  <si>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</si>
  <si>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</si>
  <si>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</si>
  <si>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</si>
  <si>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</si>
  <si>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</si>
  <si>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</si>
  <si>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</si>
  <si>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</si>
  <si>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</si>
  <si>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</si>
  <si>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</si>
  <si>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</si>
  <si>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</si>
  <si>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</si>
  <si>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</si>
  <si>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</si>
  <si>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</si>
  <si>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</si>
  <si>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</si>
  <si>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</si>
  <si>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</si>
  <si>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</si>
  <si>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</si>
  <si>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</si>
  <si>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</si>
  <si>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</si>
  <si>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</si>
  <si>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</si>
  <si>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</si>
  <si>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</si>
  <si>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</si>
  <si>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</si>
  <si>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</si>
  <si>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</si>
  <si>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</si>
  <si>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</si>
  <si>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</si>
  <si>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</si>
  <si>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</si>
  <si>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</si>
  <si>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</si>
  <si>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</si>
  <si>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</si>
  <si>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</si>
  <si>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</si>
  <si>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</si>
  <si>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</si>
  <si>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</si>
  <si>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</si>
  <si>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</si>
  <si>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</si>
  <si>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</si>
  <si>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</si>
  <si>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</si>
  <si>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</si>
  <si>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</si>
  <si>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</si>
  <si>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</si>
  <si>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</si>
  <si>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</si>
  <si>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</si>
  <si>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</si>
  <si>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</si>
  <si>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</si>
  <si>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</si>
  <si>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</si>
  <si>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</si>
  <si>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</si>
  <si>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</si>
  <si>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</si>
  <si>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</si>
  <si>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</si>
  <si>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</si>
  <si>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</si>
  <si>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</si>
  <si>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</si>
  <si>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</si>
  <si>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</si>
  <si>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</si>
  <si>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</si>
  <si>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</si>
  <si>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</si>
  <si>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</si>
  <si>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</si>
  <si>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</si>
  <si>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</si>
  <si>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</si>
  <si>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</si>
  <si>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</si>
  <si>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</si>
  <si>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</si>
  <si>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</si>
  <si>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</si>
  <si>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</si>
  <si>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</si>
  <si>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</si>
  <si>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</si>
  <si>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</si>
  <si>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</si>
  <si>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</si>
  <si>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</si>
  <si>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</si>
  <si>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</si>
  <si>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</si>
  <si>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</si>
  <si>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</si>
  <si>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</si>
  <si>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</si>
  <si>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</si>
  <si>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</si>
  <si>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</si>
  <si>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</si>
  <si>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</si>
  <si>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</si>
  <si>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</si>
  <si>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</si>
  <si>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</si>
  <si>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</si>
  <si>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</si>
  <si>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</si>
  <si>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</si>
  <si>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</si>
  <si>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</si>
  <si>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</si>
  <si>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</si>
  <si>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</si>
  <si>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</si>
  <si>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</si>
  <si>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</si>
  <si>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</si>
  <si>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</si>
  <si>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</si>
  <si>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</si>
  <si>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</si>
  <si>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</si>
  <si>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</si>
  <si>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</si>
  <si>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</si>
  <si>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</si>
  <si>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</si>
  <si>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</si>
  <si>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</si>
  <si>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</si>
  <si>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</si>
  <si>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</si>
  <si>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</si>
  <si>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</si>
  <si>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</si>
  <si>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</si>
  <si>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</si>
  <si>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</si>
  <si>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</si>
  <si>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</si>
  <si>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</si>
  <si>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</si>
  <si>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</si>
  <si>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</si>
  <si>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</si>
  <si>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</si>
  <si>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</si>
  <si>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</si>
  <si>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</si>
  <si>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</si>
  <si>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</si>
  <si>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</si>
  <si>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</si>
  <si>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</si>
  <si>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</si>
  <si>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</si>
  <si>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</si>
  <si>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</si>
  <si>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</si>
  <si>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</si>
  <si>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</si>
  <si>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</si>
  <si>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</si>
  <si>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</si>
  <si>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</si>
  <si>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</si>
  <si>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</si>
  <si>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</si>
  <si>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</si>
  <si>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</si>
  <si>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</si>
  <si>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</si>
  <si>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</si>
  <si>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</si>
  <si>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</si>
  <si>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</si>
  <si>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</si>
  <si>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</si>
  <si>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</si>
  <si>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</si>
  <si>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</si>
  <si>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</si>
  <si>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</si>
  <si>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</si>
  <si>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</si>
  <si>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</si>
  <si>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</si>
  <si>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</si>
  <si>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</si>
  <si>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</si>
  <si>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</si>
  <si>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</si>
  <si>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</si>
  <si>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</si>
  <si>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</si>
  <si>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</si>
  <si>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</si>
  <si>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</si>
  <si>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</si>
  <si>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</si>
  <si>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</si>
  <si>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</si>
  <si>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</si>
  <si>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</si>
  <si>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</si>
  <si>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</si>
  <si>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</si>
  <si>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</si>
  <si>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</si>
  <si>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</si>
  <si>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</si>
  <si>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</si>
  <si>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</si>
  <si>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</si>
  <si>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</si>
  <si>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</si>
  <si>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</si>
  <si>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</si>
  <si>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</si>
  <si>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</si>
  <si>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</si>
  <si>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</si>
  <si>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</si>
  <si>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</si>
  <si>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</si>
  <si>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</si>
  <si>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</si>
  <si>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</si>
  <si>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</si>
  <si>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</si>
  <si>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</si>
  <si>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</si>
  <si>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</si>
  <si>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</si>
  <si>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</si>
  <si>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</si>
  <si>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</si>
  <si>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</si>
  <si>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</si>
  <si>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</si>
  <si>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</si>
  <si>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</si>
  <si>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</si>
  <si>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</si>
  <si>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</si>
  <si>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</si>
  <si>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</si>
  <si>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</si>
  <si>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</si>
  <si>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</si>
  <si>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</si>
  <si>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</si>
  <si>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</si>
  <si>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</si>
  <si>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</si>
  <si>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</si>
  <si>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</si>
  <si>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</si>
  <si>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</si>
  <si>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</si>
  <si>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</si>
  <si>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</si>
  <si>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</si>
  <si>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</si>
  <si>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</si>
  <si>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</si>
  <si>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</si>
  <si>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</si>
  <si>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فروش 5 عدد سکه 8/10/97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</si>
  <si>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</si>
  <si>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</si>
  <si>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</si>
  <si>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</si>
  <si>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</si>
  <si>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</si>
  <si>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</si>
  <si>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</si>
  <si>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وبانک 556 تا 286 (تشویقی)</t>
  </si>
  <si>
    <t>وبانک 597 تا 287 (تشویقی)</t>
  </si>
  <si>
    <t>شغدیر 197 تا 508 (تشویقی)</t>
  </si>
  <si>
    <t>مستقیم</t>
  </si>
  <si>
    <t>معکوس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</si>
  <si>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</si>
  <si>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</si>
  <si>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</si>
  <si>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</si>
  <si>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</si>
  <si>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</si>
  <si>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مجموع خرید 5 عدد اولیه</t>
  </si>
  <si>
    <t>16/10/1397</t>
  </si>
  <si>
    <t>پیدا کردن سهم خشک شده</t>
  </si>
  <si>
    <t>پارسان</t>
  </si>
  <si>
    <t>17/10/1397</t>
  </si>
  <si>
    <t>پارسان 1205 تا 413 (تشویقی)</t>
  </si>
  <si>
    <t>ورنا 5555 تا 89.6 (تشویقی)</t>
  </si>
  <si>
    <t>ورنا</t>
  </si>
  <si>
    <t>وصنعت</t>
  </si>
  <si>
    <t>وسبحان</t>
  </si>
  <si>
    <t>وسبحان 40000 تا 182.1</t>
  </si>
  <si>
    <t xml:space="preserve">بدهی سارا به صندوق </t>
  </si>
  <si>
    <t>13/10/1397</t>
  </si>
  <si>
    <t>15/10/1397</t>
  </si>
  <si>
    <t>دکتر</t>
  </si>
  <si>
    <t>18/10/1397</t>
  </si>
  <si>
    <t>1799-191.5</t>
  </si>
  <si>
    <t>زاگرس 190 تا 4861</t>
  </si>
  <si>
    <t>شاراک 431 تا 4418</t>
  </si>
  <si>
    <t>وصنعت 8000 تا 119.4</t>
  </si>
  <si>
    <t>وغدیر 3143 تا 190.3 ( انتقالی از حساب داریوش)</t>
  </si>
  <si>
    <t>18/10/1397   14:28</t>
  </si>
  <si>
    <t>وصنعت 14000 تا 119.5</t>
  </si>
  <si>
    <t>سکه9812 تعداد 10 قیمت 402300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</si>
</sst>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4599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F21" sqref="F2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4568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4568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4572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4572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4578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4578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4583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4588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4588</v>
      </c>
      <c r="B11" s="18">
        <v>-1287000</v>
      </c>
      <c r="C11" s="18">
        <v>0</v>
      </c>
      <c r="D11" s="113">
        <f t="shared" si="0"/>
        <v>-1287000</v>
      </c>
      <c r="E11" s="19" t="s">
        <v>4589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4583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4585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4599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4609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4611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4614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4628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4513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4517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4525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4526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4526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4526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4529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4540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4540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4540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20534365</v>
      </c>
      <c r="C32" s="113">
        <f>SUM(C2:C31)</f>
        <v>0</v>
      </c>
      <c r="D32" s="113">
        <f>SUM(D2:D31)</f>
        <v>20534365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478927340</v>
      </c>
      <c r="H33" s="18">
        <f>SUM(H2:H31)</f>
        <v>0</v>
      </c>
      <c r="I33" s="18">
        <f>SUM(I2:I31)</f>
        <v>478927340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4570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4600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1161703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zoomScaleNormal="100" workbookViewId="0">
      <pane ySplit="1" topLeftCell="A263" activePane="bottomLeft" state="frozen"/>
      <selection pane="bottomLeft" activeCell="F284" sqref="F28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1004</v>
      </c>
      <c r="H2" s="36">
        <f>IF(B2&gt;0,1,0)</f>
        <v>1</v>
      </c>
      <c r="I2" s="11">
        <f>B2*(G2-H2)</f>
        <v>16750100</v>
      </c>
      <c r="J2" s="53">
        <f>C2*(G2-H2)</f>
        <v>16750100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1003</v>
      </c>
      <c r="H3" s="36">
        <f t="shared" ref="H3:H66" si="2">IF(B3&gt;0,1,0)</f>
        <v>1</v>
      </c>
      <c r="I3" s="11">
        <f t="shared" ref="I3:I66" si="3">B3*(G3-H3)</f>
        <v>19939800000</v>
      </c>
      <c r="J3" s="53">
        <f t="shared" ref="J3:J66" si="4">C3*(G3-H3)</f>
        <v>11409774000</v>
      </c>
      <c r="K3" s="53">
        <f t="shared" ref="K3:K66" si="5">D3*(G3-H3)</f>
        <v>8530026000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1003</v>
      </c>
      <c r="H4" s="36">
        <f t="shared" si="2"/>
        <v>0</v>
      </c>
      <c r="I4" s="11">
        <f t="shared" si="3"/>
        <v>0</v>
      </c>
      <c r="J4" s="53">
        <f t="shared" si="4"/>
        <v>8525500</v>
      </c>
      <c r="K4" s="53">
        <f t="shared" si="5"/>
        <v>-8525500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1001</v>
      </c>
      <c r="H5" s="36">
        <f t="shared" si="2"/>
        <v>1</v>
      </c>
      <c r="I5" s="11">
        <f t="shared" si="3"/>
        <v>2000000000</v>
      </c>
      <c r="J5" s="53">
        <f t="shared" si="4"/>
        <v>0</v>
      </c>
      <c r="K5" s="53">
        <f t="shared" si="5"/>
        <v>2000000000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994</v>
      </c>
      <c r="H6" s="36">
        <f t="shared" si="2"/>
        <v>0</v>
      </c>
      <c r="I6" s="11">
        <f t="shared" si="3"/>
        <v>-4970000</v>
      </c>
      <c r="J6" s="53">
        <f t="shared" si="4"/>
        <v>0</v>
      </c>
      <c r="K6" s="53">
        <f t="shared" si="5"/>
        <v>-4970000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990</v>
      </c>
      <c r="H7" s="36">
        <f t="shared" si="2"/>
        <v>0</v>
      </c>
      <c r="I7" s="11">
        <f t="shared" si="3"/>
        <v>-1188495000</v>
      </c>
      <c r="J7" s="53">
        <f t="shared" si="4"/>
        <v>0</v>
      </c>
      <c r="K7" s="53">
        <f t="shared" si="5"/>
        <v>-1188495000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989</v>
      </c>
      <c r="H8" s="36">
        <f t="shared" si="2"/>
        <v>0</v>
      </c>
      <c r="I8" s="11">
        <f t="shared" si="3"/>
        <v>-197800000</v>
      </c>
      <c r="J8" s="53">
        <f t="shared" si="4"/>
        <v>0</v>
      </c>
      <c r="K8" s="53">
        <f t="shared" si="5"/>
        <v>-197800000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987</v>
      </c>
      <c r="H9" s="36">
        <f t="shared" si="2"/>
        <v>0</v>
      </c>
      <c r="I9" s="11">
        <f t="shared" si="3"/>
        <v>-696328500</v>
      </c>
      <c r="J9" s="53">
        <f t="shared" si="4"/>
        <v>0</v>
      </c>
      <c r="K9" s="53">
        <f t="shared" si="5"/>
        <v>-696328500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978</v>
      </c>
      <c r="H10" s="36">
        <f t="shared" si="2"/>
        <v>0</v>
      </c>
      <c r="I10" s="11">
        <f t="shared" si="3"/>
        <v>-195600000</v>
      </c>
      <c r="J10" s="53">
        <f t="shared" si="4"/>
        <v>0</v>
      </c>
      <c r="K10" s="53">
        <f t="shared" si="5"/>
        <v>-195600000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978</v>
      </c>
      <c r="H11" s="36">
        <f t="shared" si="2"/>
        <v>1</v>
      </c>
      <c r="I11" s="11">
        <f t="shared" si="3"/>
        <v>977000000</v>
      </c>
      <c r="J11" s="53">
        <f t="shared" si="4"/>
        <v>0</v>
      </c>
      <c r="K11" s="53">
        <f t="shared" si="5"/>
        <v>977000000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974</v>
      </c>
      <c r="H12" s="36">
        <f t="shared" si="2"/>
        <v>0</v>
      </c>
      <c r="I12" s="11">
        <f t="shared" si="3"/>
        <v>-292200000</v>
      </c>
      <c r="J12" s="53">
        <f t="shared" si="4"/>
        <v>0</v>
      </c>
      <c r="K12" s="53">
        <f t="shared" si="5"/>
        <v>-292200000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969</v>
      </c>
      <c r="H13" s="36">
        <f t="shared" si="2"/>
        <v>0</v>
      </c>
      <c r="I13" s="11">
        <f t="shared" si="3"/>
        <v>-60078000</v>
      </c>
      <c r="J13" s="53">
        <f t="shared" si="4"/>
        <v>0</v>
      </c>
      <c r="K13" s="53">
        <f t="shared" si="5"/>
        <v>-60078000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969</v>
      </c>
      <c r="H14" s="36">
        <f t="shared" si="2"/>
        <v>1</v>
      </c>
      <c r="I14" s="11">
        <f t="shared" si="3"/>
        <v>1936000000</v>
      </c>
      <c r="J14" s="53">
        <f t="shared" si="4"/>
        <v>0</v>
      </c>
      <c r="K14" s="53">
        <f t="shared" si="5"/>
        <v>1936000000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968</v>
      </c>
      <c r="H15" s="36">
        <f t="shared" si="2"/>
        <v>1</v>
      </c>
      <c r="I15" s="11">
        <f t="shared" si="3"/>
        <v>1740600000</v>
      </c>
      <c r="J15" s="53">
        <f t="shared" si="4"/>
        <v>0</v>
      </c>
      <c r="K15" s="53">
        <f t="shared" si="5"/>
        <v>1740600000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968</v>
      </c>
      <c r="H16" s="36">
        <f t="shared" si="2"/>
        <v>0</v>
      </c>
      <c r="I16" s="11">
        <f t="shared" si="3"/>
        <v>-193600000</v>
      </c>
      <c r="J16" s="53">
        <f t="shared" si="4"/>
        <v>0</v>
      </c>
      <c r="K16" s="53">
        <f t="shared" si="5"/>
        <v>-193600000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964</v>
      </c>
      <c r="H17" s="36">
        <f t="shared" si="2"/>
        <v>0</v>
      </c>
      <c r="I17" s="11">
        <f t="shared" si="3"/>
        <v>-1928000000</v>
      </c>
      <c r="J17" s="53">
        <f t="shared" si="4"/>
        <v>0</v>
      </c>
      <c r="K17" s="53">
        <f t="shared" si="5"/>
        <v>-1928000000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963</v>
      </c>
      <c r="H18" s="36">
        <f t="shared" si="2"/>
        <v>0</v>
      </c>
      <c r="I18" s="11">
        <f t="shared" si="3"/>
        <v>-288900000</v>
      </c>
      <c r="J18" s="53">
        <f t="shared" si="4"/>
        <v>0</v>
      </c>
      <c r="K18" s="53">
        <f t="shared" si="5"/>
        <v>-288900000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962</v>
      </c>
      <c r="H19" s="36">
        <f t="shared" si="2"/>
        <v>0</v>
      </c>
      <c r="I19" s="11">
        <f t="shared" si="3"/>
        <v>-192400000</v>
      </c>
      <c r="J19" s="53">
        <f t="shared" si="4"/>
        <v>0</v>
      </c>
      <c r="K19" s="53">
        <f t="shared" si="5"/>
        <v>-192400000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960</v>
      </c>
      <c r="H20" s="36">
        <f t="shared" si="2"/>
        <v>1</v>
      </c>
      <c r="I20" s="11">
        <f t="shared" si="3"/>
        <v>259974351</v>
      </c>
      <c r="J20" s="53">
        <f t="shared" si="4"/>
        <v>141406468</v>
      </c>
      <c r="K20" s="53">
        <f t="shared" si="5"/>
        <v>118567883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958</v>
      </c>
      <c r="H21" s="36">
        <f t="shared" si="2"/>
        <v>0</v>
      </c>
      <c r="I21" s="11">
        <f t="shared" si="3"/>
        <v>-1442460600</v>
      </c>
      <c r="J21" s="53">
        <f t="shared" si="4"/>
        <v>0</v>
      </c>
      <c r="K21" s="53">
        <f t="shared" si="5"/>
        <v>-1442460600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955</v>
      </c>
      <c r="H22" s="36">
        <f t="shared" si="2"/>
        <v>1</v>
      </c>
      <c r="I22" s="11">
        <f t="shared" si="3"/>
        <v>2862000000</v>
      </c>
      <c r="J22" s="53">
        <f t="shared" si="4"/>
        <v>0</v>
      </c>
      <c r="K22" s="53">
        <f t="shared" si="5"/>
        <v>2862000000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954</v>
      </c>
      <c r="H23" s="36">
        <f t="shared" si="2"/>
        <v>1</v>
      </c>
      <c r="I23" s="11">
        <f t="shared" si="3"/>
        <v>953000000</v>
      </c>
      <c r="J23" s="53">
        <f t="shared" si="4"/>
        <v>0</v>
      </c>
      <c r="K23" s="53">
        <f t="shared" si="5"/>
        <v>953000000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953</v>
      </c>
      <c r="H24" s="36">
        <f t="shared" si="2"/>
        <v>0</v>
      </c>
      <c r="I24" s="11">
        <f t="shared" si="3"/>
        <v>-2859857700</v>
      </c>
      <c r="J24" s="53">
        <f t="shared" si="4"/>
        <v>0</v>
      </c>
      <c r="K24" s="53">
        <f t="shared" si="5"/>
        <v>-2859857700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938</v>
      </c>
      <c r="H25" s="36">
        <f t="shared" si="2"/>
        <v>1</v>
      </c>
      <c r="I25" s="11">
        <f t="shared" si="3"/>
        <v>1405500000</v>
      </c>
      <c r="J25" s="53">
        <f t="shared" si="4"/>
        <v>0</v>
      </c>
      <c r="K25" s="53">
        <f t="shared" si="5"/>
        <v>1405500000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930</v>
      </c>
      <c r="H26" s="36">
        <f t="shared" si="2"/>
        <v>0</v>
      </c>
      <c r="I26" s="11">
        <f t="shared" si="3"/>
        <v>-152520000</v>
      </c>
      <c r="J26" s="53">
        <f t="shared" si="4"/>
        <v>0</v>
      </c>
      <c r="K26" s="53">
        <f t="shared" si="5"/>
        <v>-152520000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929</v>
      </c>
      <c r="H27" s="36">
        <f t="shared" si="2"/>
        <v>1</v>
      </c>
      <c r="I27" s="11">
        <f t="shared" si="3"/>
        <v>185036704</v>
      </c>
      <c r="J27" s="53">
        <f t="shared" si="4"/>
        <v>99679264</v>
      </c>
      <c r="K27" s="53">
        <f t="shared" si="5"/>
        <v>85357440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927</v>
      </c>
      <c r="H28" s="36">
        <f t="shared" si="2"/>
        <v>0</v>
      </c>
      <c r="I28" s="11">
        <f t="shared" si="3"/>
        <v>-204867000</v>
      </c>
      <c r="J28" s="53">
        <f t="shared" si="4"/>
        <v>-204867000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927</v>
      </c>
      <c r="H29" s="36">
        <f t="shared" si="2"/>
        <v>0</v>
      </c>
      <c r="I29" s="11">
        <f t="shared" si="3"/>
        <v>-463963500</v>
      </c>
      <c r="J29" s="53">
        <f t="shared" si="4"/>
        <v>0</v>
      </c>
      <c r="K29" s="53">
        <f t="shared" si="5"/>
        <v>-463963500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927</v>
      </c>
      <c r="H30" s="36">
        <f t="shared" si="2"/>
        <v>0</v>
      </c>
      <c r="I30" s="11">
        <f t="shared" si="3"/>
        <v>-13905000000</v>
      </c>
      <c r="J30" s="53">
        <f t="shared" si="4"/>
        <v>-13905000000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910</v>
      </c>
      <c r="H31" s="36">
        <f t="shared" si="2"/>
        <v>0</v>
      </c>
      <c r="I31" s="11">
        <f t="shared" si="3"/>
        <v>-2739919000</v>
      </c>
      <c r="J31" s="53">
        <f t="shared" si="4"/>
        <v>0</v>
      </c>
      <c r="K31" s="53">
        <f t="shared" si="5"/>
        <v>-2739919000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908</v>
      </c>
      <c r="H32" s="36">
        <f t="shared" si="2"/>
        <v>0</v>
      </c>
      <c r="I32" s="11">
        <f t="shared" si="3"/>
        <v>-2729357200</v>
      </c>
      <c r="J32" s="53">
        <f t="shared" si="4"/>
        <v>0</v>
      </c>
      <c r="K32" s="53">
        <f t="shared" si="5"/>
        <v>-2729357200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907</v>
      </c>
      <c r="H33" s="36">
        <f t="shared" si="2"/>
        <v>0</v>
      </c>
      <c r="I33" s="11">
        <f t="shared" si="3"/>
        <v>-812218500</v>
      </c>
      <c r="J33" s="53">
        <f t="shared" si="4"/>
        <v>0</v>
      </c>
      <c r="K33" s="53">
        <f t="shared" si="5"/>
        <v>-812218500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907</v>
      </c>
      <c r="H34" s="36">
        <f t="shared" si="2"/>
        <v>0</v>
      </c>
      <c r="I34" s="11">
        <f t="shared" si="3"/>
        <v>0</v>
      </c>
      <c r="J34" s="53">
        <f t="shared" si="4"/>
        <v>907000000</v>
      </c>
      <c r="K34" s="53">
        <f t="shared" si="5"/>
        <v>-907000000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898</v>
      </c>
      <c r="H35" s="36">
        <f t="shared" si="2"/>
        <v>1</v>
      </c>
      <c r="I35" s="11">
        <f t="shared" si="3"/>
        <v>47067384</v>
      </c>
      <c r="J35" s="53">
        <f t="shared" si="4"/>
        <v>-19431711</v>
      </c>
      <c r="K35" s="53">
        <f t="shared" si="5"/>
        <v>66499095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898</v>
      </c>
      <c r="H36" s="36">
        <f t="shared" si="2"/>
        <v>0</v>
      </c>
      <c r="I36" s="11">
        <f t="shared" si="3"/>
        <v>0</v>
      </c>
      <c r="J36" s="53">
        <f t="shared" si="4"/>
        <v>19453374</v>
      </c>
      <c r="K36" s="53">
        <f t="shared" si="5"/>
        <v>-19453374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888</v>
      </c>
      <c r="H37" s="36">
        <f t="shared" si="2"/>
        <v>0</v>
      </c>
      <c r="I37" s="11">
        <f t="shared" si="3"/>
        <v>-48840000</v>
      </c>
      <c r="J37" s="53">
        <f t="shared" si="4"/>
        <v>0</v>
      </c>
      <c r="K37" s="53">
        <f t="shared" si="5"/>
        <v>-48840000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887</v>
      </c>
      <c r="H38" s="36">
        <f t="shared" si="2"/>
        <v>1</v>
      </c>
      <c r="I38" s="11">
        <f t="shared" si="3"/>
        <v>2658000000</v>
      </c>
      <c r="J38" s="53">
        <f t="shared" si="4"/>
        <v>2658000000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886</v>
      </c>
      <c r="H39" s="36">
        <f t="shared" si="2"/>
        <v>1</v>
      </c>
      <c r="I39" s="11">
        <f t="shared" si="3"/>
        <v>2212500000</v>
      </c>
      <c r="J39" s="53">
        <f t="shared" si="4"/>
        <v>2212500000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886</v>
      </c>
      <c r="H40" s="36">
        <f t="shared" si="2"/>
        <v>0</v>
      </c>
      <c r="I40" s="11">
        <f t="shared" si="3"/>
        <v>-44300000</v>
      </c>
      <c r="J40" s="53">
        <f t="shared" si="4"/>
        <v>0</v>
      </c>
      <c r="K40" s="53">
        <f t="shared" si="5"/>
        <v>-44300000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886</v>
      </c>
      <c r="H41" s="36">
        <f t="shared" si="2"/>
        <v>1</v>
      </c>
      <c r="I41" s="11">
        <f t="shared" si="3"/>
        <v>2655000000</v>
      </c>
      <c r="J41" s="53">
        <f t="shared" si="4"/>
        <v>0</v>
      </c>
      <c r="K41" s="53">
        <f t="shared" si="5"/>
        <v>2655000000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883</v>
      </c>
      <c r="H42" s="36">
        <f t="shared" si="2"/>
        <v>0</v>
      </c>
      <c r="I42" s="11">
        <f t="shared" si="3"/>
        <v>-78763600</v>
      </c>
      <c r="J42" s="53">
        <f t="shared" si="4"/>
        <v>0</v>
      </c>
      <c r="K42" s="53">
        <f t="shared" si="5"/>
        <v>-78763600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879</v>
      </c>
      <c r="H43" s="36">
        <f t="shared" si="2"/>
        <v>0</v>
      </c>
      <c r="I43" s="11">
        <f t="shared" si="3"/>
        <v>-175800000</v>
      </c>
      <c r="J43" s="53">
        <f t="shared" si="4"/>
        <v>0</v>
      </c>
      <c r="K43" s="53">
        <f t="shared" si="5"/>
        <v>-175800000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877</v>
      </c>
      <c r="H44" s="36">
        <f t="shared" si="2"/>
        <v>0</v>
      </c>
      <c r="I44" s="11">
        <f t="shared" si="3"/>
        <v>-175400000</v>
      </c>
      <c r="J44" s="53">
        <f t="shared" si="4"/>
        <v>0</v>
      </c>
      <c r="K44" s="53">
        <f t="shared" si="5"/>
        <v>-175400000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877</v>
      </c>
      <c r="H45" s="36">
        <f t="shared" si="2"/>
        <v>0</v>
      </c>
      <c r="I45" s="11">
        <f t="shared" si="3"/>
        <v>-491120000</v>
      </c>
      <c r="J45" s="53">
        <f t="shared" si="4"/>
        <v>0</v>
      </c>
      <c r="K45" s="53">
        <f t="shared" si="5"/>
        <v>-491120000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873</v>
      </c>
      <c r="H46" s="36">
        <f t="shared" si="2"/>
        <v>0</v>
      </c>
      <c r="I46" s="11">
        <f t="shared" si="3"/>
        <v>-615901500</v>
      </c>
      <c r="J46" s="53">
        <f t="shared" si="4"/>
        <v>0</v>
      </c>
      <c r="K46" s="53">
        <f t="shared" si="5"/>
        <v>-615901500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867</v>
      </c>
      <c r="H47" s="36">
        <f t="shared" si="2"/>
        <v>1</v>
      </c>
      <c r="I47" s="11">
        <f t="shared" si="3"/>
        <v>35682664</v>
      </c>
      <c r="J47" s="53">
        <f t="shared" si="4"/>
        <v>5813458</v>
      </c>
      <c r="K47" s="53">
        <f t="shared" si="5"/>
        <v>29869206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867</v>
      </c>
      <c r="H48" s="36">
        <f t="shared" si="2"/>
        <v>1</v>
      </c>
      <c r="I48" s="11">
        <f t="shared" si="3"/>
        <v>1476270200</v>
      </c>
      <c r="J48" s="53">
        <f t="shared" si="4"/>
        <v>0</v>
      </c>
      <c r="K48" s="53">
        <f t="shared" si="5"/>
        <v>1476270200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858</v>
      </c>
      <c r="H49" s="36">
        <f t="shared" si="2"/>
        <v>0</v>
      </c>
      <c r="I49" s="11">
        <f t="shared" si="3"/>
        <v>-132990000</v>
      </c>
      <c r="J49" s="53">
        <f t="shared" si="4"/>
        <v>0</v>
      </c>
      <c r="K49" s="53">
        <f t="shared" si="5"/>
        <v>-132990000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858</v>
      </c>
      <c r="H50" s="36">
        <f t="shared" si="2"/>
        <v>0</v>
      </c>
      <c r="I50" s="11">
        <f t="shared" si="3"/>
        <v>-118404000</v>
      </c>
      <c r="J50" s="53">
        <f t="shared" si="4"/>
        <v>0</v>
      </c>
      <c r="K50" s="53">
        <f t="shared" si="5"/>
        <v>-118404000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858</v>
      </c>
      <c r="H51" s="36">
        <f t="shared" si="2"/>
        <v>0</v>
      </c>
      <c r="I51" s="11">
        <f t="shared" si="3"/>
        <v>-634920000</v>
      </c>
      <c r="J51" s="53">
        <f t="shared" si="4"/>
        <v>0</v>
      </c>
      <c r="K51" s="53">
        <f t="shared" si="5"/>
        <v>-634920000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858</v>
      </c>
      <c r="H52" s="36">
        <f t="shared" si="2"/>
        <v>0</v>
      </c>
      <c r="I52" s="11">
        <f t="shared" si="3"/>
        <v>-171600000</v>
      </c>
      <c r="J52" s="53">
        <f t="shared" si="4"/>
        <v>0</v>
      </c>
      <c r="K52" s="53">
        <f t="shared" si="5"/>
        <v>-171600000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857</v>
      </c>
      <c r="H53" s="36">
        <f t="shared" si="2"/>
        <v>0</v>
      </c>
      <c r="I53" s="11">
        <f t="shared" si="3"/>
        <v>-904135000</v>
      </c>
      <c r="J53" s="53">
        <f t="shared" si="4"/>
        <v>0</v>
      </c>
      <c r="K53" s="53">
        <f t="shared" si="5"/>
        <v>-904135000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857</v>
      </c>
      <c r="H54" s="36">
        <f t="shared" si="2"/>
        <v>0</v>
      </c>
      <c r="I54" s="11">
        <f t="shared" si="3"/>
        <v>-171400000</v>
      </c>
      <c r="J54" s="53">
        <f t="shared" si="4"/>
        <v>0</v>
      </c>
      <c r="K54" s="53">
        <f t="shared" si="5"/>
        <v>-171400000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857</v>
      </c>
      <c r="H55" s="36">
        <f t="shared" si="2"/>
        <v>0</v>
      </c>
      <c r="I55" s="11">
        <f t="shared" si="3"/>
        <v>-857428500</v>
      </c>
      <c r="J55" s="53">
        <f t="shared" si="4"/>
        <v>0</v>
      </c>
      <c r="K55" s="53">
        <f t="shared" si="5"/>
        <v>-857428500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857</v>
      </c>
      <c r="H56" s="36">
        <f t="shared" si="2"/>
        <v>0</v>
      </c>
      <c r="I56" s="11">
        <f t="shared" si="3"/>
        <v>-32566000</v>
      </c>
      <c r="J56" s="53">
        <f t="shared" si="4"/>
        <v>0</v>
      </c>
      <c r="K56" s="53">
        <f t="shared" si="5"/>
        <v>-32566000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857</v>
      </c>
      <c r="H57" s="36">
        <f t="shared" si="2"/>
        <v>0</v>
      </c>
      <c r="I57" s="11">
        <f t="shared" si="3"/>
        <v>-89985000</v>
      </c>
      <c r="J57" s="53">
        <f t="shared" si="4"/>
        <v>0</v>
      </c>
      <c r="K57" s="53">
        <f t="shared" si="5"/>
        <v>-89985000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857</v>
      </c>
      <c r="H58" s="36">
        <f t="shared" si="2"/>
        <v>0</v>
      </c>
      <c r="I58" s="11">
        <f t="shared" si="3"/>
        <v>-51420000</v>
      </c>
      <c r="J58" s="53">
        <f t="shared" si="4"/>
        <v>0</v>
      </c>
      <c r="K58" s="53">
        <f t="shared" si="5"/>
        <v>-51420000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854</v>
      </c>
      <c r="H59" s="36">
        <f t="shared" si="2"/>
        <v>1</v>
      </c>
      <c r="I59" s="11">
        <f t="shared" si="3"/>
        <v>853000000</v>
      </c>
      <c r="J59" s="53">
        <f t="shared" si="4"/>
        <v>853000000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853</v>
      </c>
      <c r="H60" s="36">
        <f t="shared" si="2"/>
        <v>1</v>
      </c>
      <c r="I60" s="11">
        <f t="shared" si="3"/>
        <v>2982000000</v>
      </c>
      <c r="J60" s="53">
        <f t="shared" si="4"/>
        <v>2982000000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851</v>
      </c>
      <c r="H61" s="36">
        <f t="shared" si="2"/>
        <v>1</v>
      </c>
      <c r="I61" s="11">
        <f t="shared" si="3"/>
        <v>850000000</v>
      </c>
      <c r="J61" s="53">
        <f t="shared" si="4"/>
        <v>850000000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851</v>
      </c>
      <c r="H62" s="36">
        <f t="shared" si="2"/>
        <v>1</v>
      </c>
      <c r="I62" s="11">
        <f t="shared" si="3"/>
        <v>2550000000</v>
      </c>
      <c r="J62" s="53">
        <f t="shared" si="4"/>
        <v>2550000000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849</v>
      </c>
      <c r="H63" s="36">
        <f t="shared" si="2"/>
        <v>0</v>
      </c>
      <c r="I63" s="11">
        <f t="shared" si="3"/>
        <v>-169800000</v>
      </c>
      <c r="J63" s="53">
        <f t="shared" si="4"/>
        <v>0</v>
      </c>
      <c r="K63" s="53">
        <f t="shared" si="5"/>
        <v>-169800000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844</v>
      </c>
      <c r="H64" s="36">
        <f t="shared" si="2"/>
        <v>0</v>
      </c>
      <c r="I64" s="11">
        <f t="shared" si="3"/>
        <v>-42200000</v>
      </c>
      <c r="J64" s="53">
        <f t="shared" si="4"/>
        <v>0</v>
      </c>
      <c r="K64" s="53">
        <f t="shared" si="5"/>
        <v>-42200000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840</v>
      </c>
      <c r="H65" s="36">
        <f t="shared" si="2"/>
        <v>0</v>
      </c>
      <c r="I65" s="11">
        <f t="shared" si="3"/>
        <v>-168000000</v>
      </c>
      <c r="J65" s="53">
        <f t="shared" si="4"/>
        <v>0</v>
      </c>
      <c r="K65" s="53">
        <f t="shared" si="5"/>
        <v>-168000000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837</v>
      </c>
      <c r="H66" s="36">
        <f t="shared" si="2"/>
        <v>0</v>
      </c>
      <c r="I66" s="11">
        <f t="shared" si="3"/>
        <v>-142290000</v>
      </c>
      <c r="J66" s="53">
        <f t="shared" si="4"/>
        <v>0</v>
      </c>
      <c r="K66" s="53">
        <f t="shared" si="5"/>
        <v>-142290000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836</v>
      </c>
      <c r="H67" s="36">
        <f t="shared" ref="H67:H131" si="8">IF(B67&gt;0,1,0)</f>
        <v>1</v>
      </c>
      <c r="I67" s="11">
        <f t="shared" ref="I67:I119" si="9">B67*(G67-H67)</f>
        <v>76256375</v>
      </c>
      <c r="J67" s="53">
        <f t="shared" ref="J67:J131" si="10">C67*(G67-H67)</f>
        <v>54878705</v>
      </c>
      <c r="K67" s="53">
        <f t="shared" ref="K67:K131" si="11">D67*(G67-H67)</f>
        <v>21377670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818</v>
      </c>
      <c r="H68" s="36">
        <f t="shared" si="8"/>
        <v>0</v>
      </c>
      <c r="I68" s="11">
        <f t="shared" si="9"/>
        <v>-118610000</v>
      </c>
      <c r="J68" s="53">
        <f t="shared" si="10"/>
        <v>0</v>
      </c>
      <c r="K68" s="53">
        <f t="shared" si="11"/>
        <v>-118610000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811</v>
      </c>
      <c r="H69" s="36">
        <f t="shared" si="8"/>
        <v>1</v>
      </c>
      <c r="I69" s="11">
        <f t="shared" si="9"/>
        <v>793800000</v>
      </c>
      <c r="J69" s="53">
        <f t="shared" si="10"/>
        <v>0</v>
      </c>
      <c r="K69" s="53">
        <f t="shared" si="11"/>
        <v>793800000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808</v>
      </c>
      <c r="H70" s="36">
        <f t="shared" si="8"/>
        <v>0</v>
      </c>
      <c r="I70" s="11">
        <f t="shared" si="9"/>
        <v>-37168000</v>
      </c>
      <c r="J70" s="53">
        <f t="shared" si="10"/>
        <v>0</v>
      </c>
      <c r="K70" s="53">
        <f t="shared" si="11"/>
        <v>-37168000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806</v>
      </c>
      <c r="H71" s="36">
        <f t="shared" si="8"/>
        <v>1</v>
      </c>
      <c r="I71" s="11">
        <f t="shared" si="9"/>
        <v>92847090</v>
      </c>
      <c r="J71" s="53">
        <f t="shared" si="10"/>
        <v>83568660</v>
      </c>
      <c r="K71" s="53">
        <f t="shared" si="11"/>
        <v>9278430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805</v>
      </c>
      <c r="H72" s="36">
        <f t="shared" si="8"/>
        <v>0</v>
      </c>
      <c r="I72" s="11">
        <f t="shared" si="9"/>
        <v>-122335045</v>
      </c>
      <c r="J72" s="53">
        <f t="shared" si="10"/>
        <v>0</v>
      </c>
      <c r="K72" s="53">
        <f t="shared" si="11"/>
        <v>-122335045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804</v>
      </c>
      <c r="H73" s="36">
        <f t="shared" si="8"/>
        <v>0</v>
      </c>
      <c r="I73" s="11">
        <f t="shared" si="9"/>
        <v>-647622000</v>
      </c>
      <c r="J73" s="53">
        <f t="shared" si="10"/>
        <v>0</v>
      </c>
      <c r="K73" s="53">
        <f t="shared" si="11"/>
        <v>-647622000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797</v>
      </c>
      <c r="H74" s="36">
        <f t="shared" si="8"/>
        <v>1</v>
      </c>
      <c r="I74" s="11">
        <f t="shared" si="9"/>
        <v>5568020000</v>
      </c>
      <c r="J74" s="53">
        <f t="shared" si="10"/>
        <v>0</v>
      </c>
      <c r="K74" s="53">
        <f t="shared" si="11"/>
        <v>5568020000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796</v>
      </c>
      <c r="H75" s="36">
        <f t="shared" si="8"/>
        <v>1</v>
      </c>
      <c r="I75" s="11">
        <f t="shared" si="9"/>
        <v>2385000000</v>
      </c>
      <c r="J75" s="53">
        <f t="shared" si="10"/>
        <v>0</v>
      </c>
      <c r="K75" s="53">
        <f t="shared" si="11"/>
        <v>2385000000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794</v>
      </c>
      <c r="H76" s="36">
        <f t="shared" si="8"/>
        <v>1</v>
      </c>
      <c r="I76" s="11">
        <f t="shared" si="9"/>
        <v>2379000000</v>
      </c>
      <c r="J76" s="53">
        <f t="shared" si="10"/>
        <v>0</v>
      </c>
      <c r="K76" s="53">
        <f t="shared" si="11"/>
        <v>2379000000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793</v>
      </c>
      <c r="H77" s="36">
        <f t="shared" si="8"/>
        <v>1</v>
      </c>
      <c r="I77" s="11">
        <f t="shared" si="9"/>
        <v>2376000000</v>
      </c>
      <c r="J77" s="53">
        <f t="shared" si="10"/>
        <v>0</v>
      </c>
      <c r="K77" s="53">
        <f t="shared" si="11"/>
        <v>2376000000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792</v>
      </c>
      <c r="H78" s="36">
        <f t="shared" si="8"/>
        <v>0</v>
      </c>
      <c r="I78" s="11">
        <f t="shared" si="9"/>
        <v>-2534400000</v>
      </c>
      <c r="J78" s="53">
        <f t="shared" si="10"/>
        <v>-2534400000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791</v>
      </c>
      <c r="H79" s="36">
        <f t="shared" si="8"/>
        <v>0</v>
      </c>
      <c r="I79" s="11">
        <f t="shared" si="9"/>
        <v>-632800000</v>
      </c>
      <c r="J79" s="53">
        <f t="shared" si="10"/>
        <v>-632800000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790</v>
      </c>
      <c r="H80" s="36">
        <f t="shared" si="8"/>
        <v>0</v>
      </c>
      <c r="I80" s="11">
        <f t="shared" si="9"/>
        <v>-38230470</v>
      </c>
      <c r="J80" s="53">
        <f t="shared" si="10"/>
        <v>0</v>
      </c>
      <c r="K80" s="53">
        <f t="shared" si="11"/>
        <v>-38230470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789</v>
      </c>
      <c r="H81" s="36">
        <f t="shared" si="8"/>
        <v>0</v>
      </c>
      <c r="I81" s="11">
        <f t="shared" si="9"/>
        <v>-110460000</v>
      </c>
      <c r="J81" s="53">
        <f t="shared" si="10"/>
        <v>0</v>
      </c>
      <c r="K81" s="53">
        <f t="shared" si="11"/>
        <v>-110460000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788</v>
      </c>
      <c r="H82" s="36">
        <f t="shared" si="8"/>
        <v>0</v>
      </c>
      <c r="I82" s="11">
        <f t="shared" si="9"/>
        <v>-197000000</v>
      </c>
      <c r="J82" s="53">
        <f t="shared" si="10"/>
        <v>0</v>
      </c>
      <c r="K82" s="53">
        <f t="shared" si="11"/>
        <v>-197000000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787</v>
      </c>
      <c r="H83" s="36">
        <f t="shared" si="8"/>
        <v>0</v>
      </c>
      <c r="I83" s="11">
        <f t="shared" si="9"/>
        <v>-157400000</v>
      </c>
      <c r="J83" s="53">
        <f t="shared" si="10"/>
        <v>0</v>
      </c>
      <c r="K83" s="53">
        <f t="shared" si="11"/>
        <v>-157400000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784</v>
      </c>
      <c r="H84" s="36">
        <f t="shared" si="8"/>
        <v>1</v>
      </c>
      <c r="I84" s="11">
        <f t="shared" si="9"/>
        <v>1280361600</v>
      </c>
      <c r="J84" s="53">
        <f t="shared" si="10"/>
        <v>0</v>
      </c>
      <c r="K84" s="53">
        <f t="shared" si="11"/>
        <v>1280361600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780</v>
      </c>
      <c r="H85" s="36">
        <f t="shared" si="8"/>
        <v>1</v>
      </c>
      <c r="I85" s="11">
        <f t="shared" si="9"/>
        <v>1947500000</v>
      </c>
      <c r="J85" s="53">
        <f t="shared" si="10"/>
        <v>0</v>
      </c>
      <c r="K85" s="53">
        <f t="shared" si="11"/>
        <v>1947500000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776</v>
      </c>
      <c r="H86" s="36">
        <f t="shared" si="8"/>
        <v>1</v>
      </c>
      <c r="I86" s="11">
        <f t="shared" si="9"/>
        <v>144382500</v>
      </c>
      <c r="J86" s="53">
        <f t="shared" si="10"/>
        <v>65836250</v>
      </c>
      <c r="K86" s="53">
        <f t="shared" si="11"/>
        <v>78546250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773</v>
      </c>
      <c r="H87" s="36">
        <f t="shared" si="8"/>
        <v>0</v>
      </c>
      <c r="I87" s="11">
        <f t="shared" si="9"/>
        <v>-154600000</v>
      </c>
      <c r="J87" s="53">
        <f t="shared" si="10"/>
        <v>0</v>
      </c>
      <c r="K87" s="53">
        <f t="shared" si="11"/>
        <v>-154600000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772</v>
      </c>
      <c r="H88" s="36">
        <f t="shared" si="8"/>
        <v>0</v>
      </c>
      <c r="I88" s="11">
        <f t="shared" si="9"/>
        <v>-91096000</v>
      </c>
      <c r="J88" s="53">
        <f t="shared" si="10"/>
        <v>-53268000</v>
      </c>
      <c r="K88" s="53">
        <f t="shared" si="11"/>
        <v>-37828000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764</v>
      </c>
      <c r="H89" s="36">
        <f t="shared" si="8"/>
        <v>0</v>
      </c>
      <c r="I89" s="11">
        <f t="shared" si="9"/>
        <v>-2445487600</v>
      </c>
      <c r="J89" s="53">
        <f t="shared" si="10"/>
        <v>0</v>
      </c>
      <c r="K89" s="53">
        <f t="shared" si="11"/>
        <v>-2445487600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763</v>
      </c>
      <c r="H90" s="36">
        <f t="shared" si="8"/>
        <v>0</v>
      </c>
      <c r="I90" s="11">
        <f t="shared" si="9"/>
        <v>-2442286700</v>
      </c>
      <c r="J90" s="53">
        <f t="shared" si="10"/>
        <v>0</v>
      </c>
      <c r="K90" s="53">
        <f t="shared" si="11"/>
        <v>-2442286700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762</v>
      </c>
      <c r="H91" s="36">
        <f t="shared" si="8"/>
        <v>0</v>
      </c>
      <c r="I91" s="11">
        <f t="shared" si="9"/>
        <v>-2439085800</v>
      </c>
      <c r="J91" s="53">
        <f t="shared" si="10"/>
        <v>0</v>
      </c>
      <c r="K91" s="53">
        <f t="shared" si="11"/>
        <v>-2439085800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761</v>
      </c>
      <c r="H92" s="36">
        <f t="shared" si="8"/>
        <v>0</v>
      </c>
      <c r="I92" s="11">
        <f t="shared" si="9"/>
        <v>-2435884900</v>
      </c>
      <c r="J92" s="53">
        <f t="shared" si="10"/>
        <v>0</v>
      </c>
      <c r="K92" s="53">
        <f t="shared" si="11"/>
        <v>-2435884900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760</v>
      </c>
      <c r="H93" s="36">
        <f t="shared" si="8"/>
        <v>0</v>
      </c>
      <c r="I93" s="11">
        <f t="shared" si="9"/>
        <v>-2432684000</v>
      </c>
      <c r="J93" s="53">
        <f t="shared" si="10"/>
        <v>0</v>
      </c>
      <c r="K93" s="53">
        <f t="shared" si="11"/>
        <v>-2432684000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759</v>
      </c>
      <c r="H94" s="36">
        <f t="shared" si="8"/>
        <v>0</v>
      </c>
      <c r="I94" s="11">
        <f t="shared" si="9"/>
        <v>-2429483100</v>
      </c>
      <c r="J94" s="53">
        <f t="shared" si="10"/>
        <v>0</v>
      </c>
      <c r="K94" s="53">
        <f t="shared" si="11"/>
        <v>-2429483100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757</v>
      </c>
      <c r="H95" s="36">
        <f t="shared" si="8"/>
        <v>0</v>
      </c>
      <c r="I95" s="11">
        <f t="shared" si="9"/>
        <v>-905823172</v>
      </c>
      <c r="J95" s="53">
        <f t="shared" si="10"/>
        <v>0</v>
      </c>
      <c r="K95" s="53">
        <f t="shared" si="11"/>
        <v>-905823172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747</v>
      </c>
      <c r="H96" s="36">
        <f t="shared" si="8"/>
        <v>0</v>
      </c>
      <c r="I96" s="11">
        <f t="shared" si="9"/>
        <v>-149400000</v>
      </c>
      <c r="J96" s="53">
        <f t="shared" si="10"/>
        <v>0</v>
      </c>
      <c r="K96" s="53">
        <f t="shared" si="11"/>
        <v>-149400000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746</v>
      </c>
      <c r="H97" s="36">
        <f t="shared" si="8"/>
        <v>1</v>
      </c>
      <c r="I97" s="11">
        <f t="shared" si="9"/>
        <v>118870710</v>
      </c>
      <c r="J97" s="53">
        <f t="shared" si="10"/>
        <v>51349870</v>
      </c>
      <c r="K97" s="53">
        <f t="shared" si="11"/>
        <v>67520840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741</v>
      </c>
      <c r="H98" s="36">
        <f t="shared" si="8"/>
        <v>1</v>
      </c>
      <c r="I98" s="11">
        <f t="shared" si="9"/>
        <v>84632320</v>
      </c>
      <c r="J98" s="53">
        <f t="shared" si="10"/>
        <v>0</v>
      </c>
      <c r="K98" s="53">
        <f t="shared" si="11"/>
        <v>84632320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738</v>
      </c>
      <c r="H99" s="36">
        <f t="shared" si="8"/>
        <v>0</v>
      </c>
      <c r="I99" s="11">
        <f t="shared" si="9"/>
        <v>-977850000</v>
      </c>
      <c r="J99" s="53">
        <f t="shared" si="10"/>
        <v>0</v>
      </c>
      <c r="K99" s="53">
        <f t="shared" si="11"/>
        <v>-977850000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733</v>
      </c>
      <c r="H100" s="36">
        <f t="shared" si="8"/>
        <v>1</v>
      </c>
      <c r="I100" s="11">
        <f t="shared" si="9"/>
        <v>969900000</v>
      </c>
      <c r="J100" s="53">
        <f t="shared" si="10"/>
        <v>0</v>
      </c>
      <c r="K100" s="53">
        <f t="shared" si="11"/>
        <v>969900000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716</v>
      </c>
      <c r="H101" s="36">
        <f t="shared" si="8"/>
        <v>1</v>
      </c>
      <c r="I101" s="11">
        <f t="shared" si="9"/>
        <v>47794175</v>
      </c>
      <c r="J101" s="53">
        <f t="shared" si="10"/>
        <v>47794175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713</v>
      </c>
      <c r="H102" s="36">
        <f t="shared" si="8"/>
        <v>1</v>
      </c>
      <c r="I102" s="11">
        <f t="shared" si="9"/>
        <v>2136000000</v>
      </c>
      <c r="J102" s="53">
        <f t="shared" si="10"/>
        <v>0</v>
      </c>
      <c r="K102" s="53">
        <f t="shared" si="11"/>
        <v>2136000000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706</v>
      </c>
      <c r="H103" s="36">
        <f t="shared" si="8"/>
        <v>0</v>
      </c>
      <c r="I103" s="11">
        <f t="shared" si="9"/>
        <v>-706000000</v>
      </c>
      <c r="J103" s="53">
        <f t="shared" si="10"/>
        <v>-706000000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696</v>
      </c>
      <c r="H104" s="36">
        <f t="shared" si="8"/>
        <v>1</v>
      </c>
      <c r="I104" s="11">
        <f t="shared" si="9"/>
        <v>2085000000</v>
      </c>
      <c r="J104" s="53">
        <f t="shared" si="10"/>
        <v>2085000000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695</v>
      </c>
      <c r="H105" s="36">
        <f t="shared" si="8"/>
        <v>1</v>
      </c>
      <c r="I105" s="11">
        <f t="shared" si="9"/>
        <v>777280000</v>
      </c>
      <c r="J105" s="53">
        <f t="shared" si="10"/>
        <v>777280000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695</v>
      </c>
      <c r="H106" s="36">
        <f t="shared" si="8"/>
        <v>0</v>
      </c>
      <c r="I106" s="11">
        <f t="shared" si="9"/>
        <v>-2085000000</v>
      </c>
      <c r="J106" s="53">
        <f t="shared" si="10"/>
        <v>0</v>
      </c>
      <c r="K106" s="53">
        <f t="shared" si="11"/>
        <v>-2085000000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686</v>
      </c>
      <c r="H107" s="36">
        <f t="shared" si="8"/>
        <v>1</v>
      </c>
      <c r="I107" s="11">
        <f t="shared" si="9"/>
        <v>61988390</v>
      </c>
      <c r="J107" s="53">
        <f t="shared" si="10"/>
        <v>51453775</v>
      </c>
      <c r="K107" s="53">
        <f t="shared" si="11"/>
        <v>10534615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684</v>
      </c>
      <c r="H108" s="36">
        <f t="shared" si="8"/>
        <v>0</v>
      </c>
      <c r="I108" s="11">
        <f t="shared" si="9"/>
        <v>-1163278800</v>
      </c>
      <c r="J108" s="53">
        <f t="shared" si="10"/>
        <v>0</v>
      </c>
      <c r="K108" s="53">
        <f t="shared" si="11"/>
        <v>-1163278800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680</v>
      </c>
      <c r="H109" s="36">
        <f t="shared" si="8"/>
        <v>0</v>
      </c>
      <c r="I109" s="11">
        <f t="shared" si="9"/>
        <v>-680340000</v>
      </c>
      <c r="J109" s="53">
        <f t="shared" si="10"/>
        <v>0</v>
      </c>
      <c r="K109" s="53">
        <f t="shared" si="11"/>
        <v>-680340000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677</v>
      </c>
      <c r="H110" s="36">
        <f t="shared" si="8"/>
        <v>1</v>
      </c>
      <c r="I110" s="11">
        <f t="shared" si="9"/>
        <v>13520000000</v>
      </c>
      <c r="J110" s="53">
        <f t="shared" si="10"/>
        <v>0</v>
      </c>
      <c r="K110" s="53">
        <f t="shared" si="11"/>
        <v>13520000000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657</v>
      </c>
      <c r="H111" s="36">
        <f t="shared" si="8"/>
        <v>1</v>
      </c>
      <c r="I111" s="11">
        <f t="shared" si="9"/>
        <v>114588768</v>
      </c>
      <c r="J111" s="53">
        <f t="shared" si="10"/>
        <v>57310128</v>
      </c>
      <c r="K111" s="53">
        <f t="shared" si="11"/>
        <v>57278640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641</v>
      </c>
      <c r="H112" s="36">
        <f t="shared" si="8"/>
        <v>0</v>
      </c>
      <c r="I112" s="11">
        <f t="shared" si="9"/>
        <v>-18204400000</v>
      </c>
      <c r="J112" s="53">
        <f t="shared" si="10"/>
        <v>0</v>
      </c>
      <c r="K112" s="53">
        <f t="shared" si="11"/>
        <v>-18204400000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626</v>
      </c>
      <c r="H113" s="36">
        <f t="shared" si="8"/>
        <v>1</v>
      </c>
      <c r="I113" s="11">
        <f t="shared" si="9"/>
        <v>101900000</v>
      </c>
      <c r="J113" s="53">
        <f t="shared" si="10"/>
        <v>76569375</v>
      </c>
      <c r="K113" s="53">
        <f t="shared" si="11"/>
        <v>25330625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626</v>
      </c>
      <c r="H114" s="36">
        <f t="shared" si="8"/>
        <v>0</v>
      </c>
      <c r="I114" s="11">
        <f t="shared" si="9"/>
        <v>-3568200</v>
      </c>
      <c r="J114" s="53">
        <f t="shared" si="10"/>
        <v>-1565000</v>
      </c>
      <c r="K114" s="53">
        <f t="shared" si="11"/>
        <v>-2003200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613</v>
      </c>
      <c r="H115" s="36">
        <f t="shared" si="8"/>
        <v>0</v>
      </c>
      <c r="I115" s="11">
        <f t="shared" si="9"/>
        <v>0</v>
      </c>
      <c r="J115" s="53">
        <f t="shared" si="10"/>
        <v>306500000</v>
      </c>
      <c r="K115" s="53">
        <f t="shared" si="11"/>
        <v>-306500000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605</v>
      </c>
      <c r="H116" s="36">
        <f t="shared" si="8"/>
        <v>0</v>
      </c>
      <c r="I116" s="11">
        <f t="shared" si="9"/>
        <v>-96800000</v>
      </c>
      <c r="J116" s="53">
        <f t="shared" si="10"/>
        <v>0</v>
      </c>
      <c r="K116" s="53">
        <f t="shared" si="11"/>
        <v>-96800000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596</v>
      </c>
      <c r="H117" s="36">
        <f t="shared" si="8"/>
        <v>1</v>
      </c>
      <c r="I117" s="11">
        <f t="shared" si="9"/>
        <v>880600</v>
      </c>
      <c r="J117" s="53">
        <f t="shared" si="10"/>
        <v>63629895</v>
      </c>
      <c r="K117" s="53">
        <f t="shared" si="11"/>
        <v>-62749295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574</v>
      </c>
      <c r="H118" s="36">
        <f t="shared" si="8"/>
        <v>1</v>
      </c>
      <c r="I118" s="11">
        <f t="shared" si="9"/>
        <v>22575913500</v>
      </c>
      <c r="J118" s="53">
        <f t="shared" si="10"/>
        <v>0</v>
      </c>
      <c r="K118" s="53">
        <f t="shared" si="11"/>
        <v>22575913500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565</v>
      </c>
      <c r="H119" s="36">
        <f t="shared" si="8"/>
        <v>1</v>
      </c>
      <c r="I119" s="11">
        <f t="shared" si="9"/>
        <v>53873844</v>
      </c>
      <c r="J119" s="53">
        <f t="shared" si="10"/>
        <v>62070456</v>
      </c>
      <c r="K119" s="53">
        <f t="shared" si="11"/>
        <v>-8196612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561</v>
      </c>
      <c r="H120" s="11">
        <f t="shared" si="8"/>
        <v>1</v>
      </c>
      <c r="I120" s="11">
        <f t="shared" ref="I120:I285" si="13">B120*(G120-H120)</f>
        <v>1120000000</v>
      </c>
      <c r="J120" s="11">
        <f t="shared" si="10"/>
        <v>0</v>
      </c>
      <c r="K120" s="11">
        <f t="shared" si="11"/>
        <v>1120000000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535</v>
      </c>
      <c r="H121" s="11">
        <f t="shared" si="8"/>
        <v>1</v>
      </c>
      <c r="I121" s="11">
        <f t="shared" si="13"/>
        <v>1388400000</v>
      </c>
      <c r="J121" s="11">
        <f t="shared" si="10"/>
        <v>0</v>
      </c>
      <c r="K121" s="11">
        <f t="shared" si="11"/>
        <v>1388400000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534</v>
      </c>
      <c r="H122" s="11">
        <f t="shared" si="8"/>
        <v>1</v>
      </c>
      <c r="I122" s="11">
        <f t="shared" si="13"/>
        <v>204965683</v>
      </c>
      <c r="J122" s="11">
        <f t="shared" si="10"/>
        <v>59113964</v>
      </c>
      <c r="K122" s="11">
        <f t="shared" si="11"/>
        <v>145851719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533</v>
      </c>
      <c r="H123" s="11">
        <f t="shared" si="8"/>
        <v>0</v>
      </c>
      <c r="I123" s="11">
        <f t="shared" si="13"/>
        <v>0</v>
      </c>
      <c r="J123" s="11">
        <f t="shared" si="10"/>
        <v>426400000</v>
      </c>
      <c r="K123" s="11">
        <f t="shared" si="11"/>
        <v>-426400000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519</v>
      </c>
      <c r="H124" s="11">
        <f t="shared" si="8"/>
        <v>0</v>
      </c>
      <c r="I124" s="11">
        <f t="shared" si="13"/>
        <v>-1557000000</v>
      </c>
      <c r="J124" s="11">
        <f t="shared" si="10"/>
        <v>0</v>
      </c>
      <c r="K124" s="11">
        <f t="shared" si="11"/>
        <v>-1557000000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504</v>
      </c>
      <c r="H125" s="11">
        <f t="shared" si="8"/>
        <v>1</v>
      </c>
      <c r="I125" s="11">
        <f t="shared" si="13"/>
        <v>201557130</v>
      </c>
      <c r="J125" s="11">
        <f t="shared" si="10"/>
        <v>59794125</v>
      </c>
      <c r="K125" s="11">
        <f t="shared" si="11"/>
        <v>141763005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504</v>
      </c>
      <c r="H126" s="11">
        <f t="shared" si="8"/>
        <v>1</v>
      </c>
      <c r="I126" s="11">
        <f t="shared" si="13"/>
        <v>21126000000</v>
      </c>
      <c r="J126" s="11">
        <f t="shared" si="10"/>
        <v>0</v>
      </c>
      <c r="K126" s="11">
        <f t="shared" si="11"/>
        <v>21126000000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479</v>
      </c>
      <c r="H127" s="11">
        <f t="shared" si="8"/>
        <v>0</v>
      </c>
      <c r="I127" s="11">
        <f t="shared" si="13"/>
        <v>-2395000</v>
      </c>
      <c r="J127" s="11">
        <f t="shared" si="10"/>
        <v>0</v>
      </c>
      <c r="K127" s="11">
        <f t="shared" si="11"/>
        <v>-2395000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473</v>
      </c>
      <c r="H128" s="11">
        <f t="shared" si="8"/>
        <v>1</v>
      </c>
      <c r="I128" s="11">
        <f t="shared" si="13"/>
        <v>364088528</v>
      </c>
      <c r="J128" s="11">
        <f t="shared" si="10"/>
        <v>56968984</v>
      </c>
      <c r="K128" s="11">
        <f t="shared" si="11"/>
        <v>307119544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470</v>
      </c>
      <c r="H129" s="11">
        <f t="shared" si="8"/>
        <v>1</v>
      </c>
      <c r="I129" s="11">
        <f t="shared" si="13"/>
        <v>1172500000</v>
      </c>
      <c r="J129" s="11">
        <f t="shared" si="10"/>
        <v>0</v>
      </c>
      <c r="K129" s="11">
        <f t="shared" si="11"/>
        <v>1172500000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456</v>
      </c>
      <c r="H130" s="11">
        <f t="shared" si="8"/>
        <v>0</v>
      </c>
      <c r="I130" s="11">
        <f t="shared" si="13"/>
        <v>-456000000</v>
      </c>
      <c r="J130" s="11">
        <f t="shared" si="10"/>
        <v>-456000000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451</v>
      </c>
      <c r="H131" s="11">
        <f t="shared" si="8"/>
        <v>0</v>
      </c>
      <c r="I131" s="11">
        <f t="shared" si="13"/>
        <v>-22550000000</v>
      </c>
      <c r="J131" s="11">
        <f t="shared" si="10"/>
        <v>0</v>
      </c>
      <c r="K131" s="11">
        <f t="shared" si="11"/>
        <v>-22550000000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443</v>
      </c>
      <c r="H132" s="11">
        <f t="shared" ref="H132:H285" si="15">IF(B132&gt;0,1,0)</f>
        <v>1</v>
      </c>
      <c r="I132" s="11">
        <f t="shared" si="13"/>
        <v>271514854</v>
      </c>
      <c r="J132" s="11">
        <f t="shared" ref="J132:J206" si="16">C132*(G132-H132)</f>
        <v>46839182</v>
      </c>
      <c r="K132" s="11">
        <f t="shared" ref="K132:K285" si="17">D132*(G132-H132)</f>
        <v>224675672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439</v>
      </c>
      <c r="H133" s="11">
        <f t="shared" si="15"/>
        <v>0</v>
      </c>
      <c r="I133" s="11">
        <f t="shared" si="13"/>
        <v>-531497300</v>
      </c>
      <c r="J133" s="11">
        <f t="shared" si="16"/>
        <v>0</v>
      </c>
      <c r="K133" s="11">
        <f t="shared" si="17"/>
        <v>-531497300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430</v>
      </c>
      <c r="H134" s="11">
        <f t="shared" si="15"/>
        <v>0</v>
      </c>
      <c r="I134" s="11">
        <f t="shared" si="13"/>
        <v>-27950000</v>
      </c>
      <c r="J134" s="11">
        <f t="shared" si="16"/>
        <v>0</v>
      </c>
      <c r="K134" s="11">
        <f t="shared" si="17"/>
        <v>-27950000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430</v>
      </c>
      <c r="H135" s="11">
        <f t="shared" si="15"/>
        <v>0</v>
      </c>
      <c r="I135" s="11">
        <f t="shared" si="13"/>
        <v>-13889000</v>
      </c>
      <c r="J135" s="11">
        <f t="shared" si="16"/>
        <v>0</v>
      </c>
      <c r="K135" s="11">
        <f t="shared" si="17"/>
        <v>-13889000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422</v>
      </c>
      <c r="H136" s="11">
        <f t="shared" si="15"/>
        <v>0</v>
      </c>
      <c r="I136" s="11">
        <f t="shared" si="13"/>
        <v>-422000000</v>
      </c>
      <c r="J136" s="11">
        <f t="shared" si="16"/>
        <v>-422000000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413</v>
      </c>
      <c r="H137" s="11">
        <f t="shared" si="15"/>
        <v>1</v>
      </c>
      <c r="I137" s="11">
        <f t="shared" si="13"/>
        <v>119839676</v>
      </c>
      <c r="J137" s="11">
        <f t="shared" si="16"/>
        <v>40111908</v>
      </c>
      <c r="K137" s="11">
        <f t="shared" si="17"/>
        <v>79727768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396</v>
      </c>
      <c r="H138" s="11">
        <f t="shared" si="15"/>
        <v>0</v>
      </c>
      <c r="I138" s="11">
        <f t="shared" si="13"/>
        <v>-396198000</v>
      </c>
      <c r="J138" s="11">
        <f t="shared" si="16"/>
        <v>-396198000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384</v>
      </c>
      <c r="H139" s="11">
        <f t="shared" si="15"/>
        <v>1</v>
      </c>
      <c r="I139" s="11">
        <f t="shared" si="13"/>
        <v>108097920</v>
      </c>
      <c r="J139" s="11">
        <f t="shared" si="16"/>
        <v>34013081</v>
      </c>
      <c r="K139" s="11">
        <f t="shared" si="17"/>
        <v>74084839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381</v>
      </c>
      <c r="H140" s="11">
        <f t="shared" si="15"/>
        <v>1</v>
      </c>
      <c r="I140" s="11">
        <f t="shared" si="13"/>
        <v>570000000</v>
      </c>
      <c r="J140" s="11">
        <f t="shared" si="16"/>
        <v>0</v>
      </c>
      <c r="K140" s="11">
        <f t="shared" si="17"/>
        <v>570000000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368</v>
      </c>
      <c r="H141" s="11">
        <f t="shared" si="15"/>
        <v>0</v>
      </c>
      <c r="I141" s="11">
        <f t="shared" si="13"/>
        <v>0</v>
      </c>
      <c r="J141" s="11">
        <f t="shared" si="16"/>
        <v>-368000000</v>
      </c>
      <c r="K141" s="11">
        <f t="shared" si="17"/>
        <v>368000000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354</v>
      </c>
      <c r="H142" s="11">
        <f t="shared" si="15"/>
        <v>1</v>
      </c>
      <c r="I142" s="11">
        <f t="shared" si="13"/>
        <v>102685229</v>
      </c>
      <c r="J142" s="11">
        <f t="shared" si="16"/>
        <v>28600766</v>
      </c>
      <c r="K142" s="11">
        <f t="shared" si="17"/>
        <v>74084463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334</v>
      </c>
      <c r="H143" s="11">
        <f t="shared" si="15"/>
        <v>0</v>
      </c>
      <c r="I143" s="11">
        <f t="shared" si="13"/>
        <v>0</v>
      </c>
      <c r="J143" s="11">
        <f t="shared" si="16"/>
        <v>-334000000</v>
      </c>
      <c r="K143" s="11">
        <f t="shared" si="17"/>
        <v>334000000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324</v>
      </c>
      <c r="H144" s="11">
        <f t="shared" si="15"/>
        <v>1</v>
      </c>
      <c r="I144" s="11">
        <f t="shared" si="13"/>
        <v>95237196</v>
      </c>
      <c r="J144" s="11">
        <f t="shared" si="16"/>
        <v>24114211</v>
      </c>
      <c r="K144" s="11">
        <f t="shared" si="17"/>
        <v>71122985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309</v>
      </c>
      <c r="H145" s="11">
        <f t="shared" si="15"/>
        <v>0</v>
      </c>
      <c r="I145" s="11">
        <f t="shared" si="13"/>
        <v>-3090000</v>
      </c>
      <c r="J145" s="11">
        <f t="shared" si="16"/>
        <v>-1545000</v>
      </c>
      <c r="K145" s="11">
        <f t="shared" si="17"/>
        <v>-1545000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304</v>
      </c>
      <c r="H146" s="11">
        <f t="shared" si="15"/>
        <v>0</v>
      </c>
      <c r="I146" s="11">
        <f t="shared" si="13"/>
        <v>-304152000</v>
      </c>
      <c r="J146" s="11">
        <f t="shared" si="16"/>
        <v>-304152000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298</v>
      </c>
      <c r="H147" s="11">
        <f t="shared" si="15"/>
        <v>0</v>
      </c>
      <c r="I147" s="11">
        <f t="shared" si="13"/>
        <v>-8046000000</v>
      </c>
      <c r="J147" s="11">
        <f t="shared" si="16"/>
        <v>0</v>
      </c>
      <c r="K147" s="11">
        <f t="shared" si="17"/>
        <v>-8046000000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295</v>
      </c>
      <c r="H148" s="11">
        <f t="shared" si="15"/>
        <v>1</v>
      </c>
      <c r="I148" s="11">
        <f t="shared" si="13"/>
        <v>74216184</v>
      </c>
      <c r="J148" s="11">
        <f t="shared" si="16"/>
        <v>19259940</v>
      </c>
      <c r="K148" s="11">
        <f t="shared" si="17"/>
        <v>54956244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85" si="18">B149-C149</f>
        <v>52400000</v>
      </c>
      <c r="E149" s="11" t="s">
        <v>1074</v>
      </c>
      <c r="F149" s="11">
        <v>7</v>
      </c>
      <c r="G149" s="36">
        <f t="shared" si="14"/>
        <v>287</v>
      </c>
      <c r="H149" s="11">
        <f t="shared" si="15"/>
        <v>1</v>
      </c>
      <c r="I149" s="11">
        <f t="shared" si="13"/>
        <v>14986400000</v>
      </c>
      <c r="J149" s="11">
        <f t="shared" si="16"/>
        <v>0</v>
      </c>
      <c r="K149" s="11">
        <f t="shared" si="17"/>
        <v>14986400000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280</v>
      </c>
      <c r="H150" s="11">
        <f t="shared" si="15"/>
        <v>0</v>
      </c>
      <c r="I150" s="11">
        <f t="shared" si="13"/>
        <v>-14560000000</v>
      </c>
      <c r="J150" s="11">
        <f t="shared" si="16"/>
        <v>0</v>
      </c>
      <c r="K150" s="11">
        <f t="shared" si="17"/>
        <v>-14560000000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275</v>
      </c>
      <c r="H151" s="99">
        <f t="shared" si="15"/>
        <v>0</v>
      </c>
      <c r="I151" s="99">
        <f t="shared" si="13"/>
        <v>-2200000000</v>
      </c>
      <c r="J151" s="99">
        <f t="shared" si="16"/>
        <v>-1862336025</v>
      </c>
      <c r="K151" s="11">
        <f t="shared" si="17"/>
        <v>-337663975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275</v>
      </c>
      <c r="H152" s="99">
        <f t="shared" si="15"/>
        <v>0</v>
      </c>
      <c r="I152" s="99">
        <f t="shared" si="13"/>
        <v>-8588250</v>
      </c>
      <c r="J152" s="99">
        <f t="shared" si="16"/>
        <v>0</v>
      </c>
      <c r="K152" s="99">
        <f t="shared" si="17"/>
        <v>-8588250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264</v>
      </c>
      <c r="H153" s="99">
        <f t="shared" si="15"/>
        <v>1</v>
      </c>
      <c r="I153" s="99">
        <f t="shared" si="13"/>
        <v>35527881</v>
      </c>
      <c r="J153" s="99">
        <f t="shared" si="16"/>
        <v>10817190</v>
      </c>
      <c r="K153" s="99">
        <f t="shared" si="17"/>
        <v>24710691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261</v>
      </c>
      <c r="H154" s="99">
        <f t="shared" si="15"/>
        <v>1</v>
      </c>
      <c r="I154" s="99">
        <f t="shared" si="13"/>
        <v>1774261320</v>
      </c>
      <c r="J154" s="99">
        <f t="shared" si="16"/>
        <v>1774261320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256</v>
      </c>
      <c r="H155" s="99">
        <f t="shared" si="15"/>
        <v>0</v>
      </c>
      <c r="I155" s="99">
        <f t="shared" si="13"/>
        <v>-51200000</v>
      </c>
      <c r="J155" s="99">
        <f t="shared" si="16"/>
        <v>0</v>
      </c>
      <c r="K155" s="99">
        <f t="shared" si="17"/>
        <v>-51200000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256</v>
      </c>
      <c r="H156" s="99">
        <f t="shared" si="15"/>
        <v>0</v>
      </c>
      <c r="I156" s="99">
        <f t="shared" si="13"/>
        <v>-63447040</v>
      </c>
      <c r="J156" s="99">
        <f t="shared" si="16"/>
        <v>0</v>
      </c>
      <c r="K156" s="99">
        <f t="shared" si="17"/>
        <v>-63447040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255</v>
      </c>
      <c r="H157" s="99">
        <f t="shared" si="15"/>
        <v>0</v>
      </c>
      <c r="I157" s="99">
        <f t="shared" si="13"/>
        <v>-41396700</v>
      </c>
      <c r="J157" s="99">
        <f t="shared" si="16"/>
        <v>0</v>
      </c>
      <c r="K157" s="99">
        <f t="shared" si="17"/>
        <v>-41396700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255</v>
      </c>
      <c r="H158" s="99">
        <f t="shared" si="15"/>
        <v>0</v>
      </c>
      <c r="I158" s="99">
        <f t="shared" si="13"/>
        <v>-765229500</v>
      </c>
      <c r="J158" s="99">
        <f t="shared" si="16"/>
        <v>0</v>
      </c>
      <c r="K158" s="99">
        <f t="shared" si="17"/>
        <v>-765229500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253</v>
      </c>
      <c r="H159" s="99">
        <f t="shared" si="15"/>
        <v>0</v>
      </c>
      <c r="I159" s="99">
        <f t="shared" si="13"/>
        <v>-253126500</v>
      </c>
      <c r="J159" s="99">
        <f t="shared" si="16"/>
        <v>0</v>
      </c>
      <c r="K159" s="99">
        <f t="shared" si="17"/>
        <v>-253126500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249</v>
      </c>
      <c r="H160" s="99">
        <f t="shared" si="15"/>
        <v>0</v>
      </c>
      <c r="I160" s="99">
        <f t="shared" si="13"/>
        <v>-24900000</v>
      </c>
      <c r="J160" s="99">
        <f t="shared" si="16"/>
        <v>0</v>
      </c>
      <c r="K160" s="99">
        <f t="shared" si="17"/>
        <v>-24900000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248</v>
      </c>
      <c r="H161" s="99">
        <f t="shared" si="15"/>
        <v>0</v>
      </c>
      <c r="I161" s="99">
        <f t="shared" si="13"/>
        <v>-496000000</v>
      </c>
      <c r="J161" s="99">
        <f t="shared" si="16"/>
        <v>0</v>
      </c>
      <c r="K161" s="99">
        <f t="shared" si="17"/>
        <v>-496000000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248</v>
      </c>
      <c r="H162" s="99">
        <f t="shared" si="15"/>
        <v>0</v>
      </c>
      <c r="I162" s="99">
        <f t="shared" si="13"/>
        <v>-248124000</v>
      </c>
      <c r="J162" s="99">
        <f t="shared" si="16"/>
        <v>0</v>
      </c>
      <c r="K162" s="99">
        <f t="shared" si="17"/>
        <v>-248124000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245</v>
      </c>
      <c r="H163" s="99">
        <f t="shared" si="15"/>
        <v>0</v>
      </c>
      <c r="I163" s="99">
        <f t="shared" si="13"/>
        <v>-1225000</v>
      </c>
      <c r="J163" s="99">
        <f t="shared" si="16"/>
        <v>0</v>
      </c>
      <c r="K163" s="99">
        <f t="shared" si="17"/>
        <v>-1225000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235</v>
      </c>
      <c r="H164" s="99">
        <f t="shared" si="15"/>
        <v>1</v>
      </c>
      <c r="I164" s="99">
        <f t="shared" si="13"/>
        <v>702000000</v>
      </c>
      <c r="J164" s="99">
        <f t="shared" si="16"/>
        <v>0</v>
      </c>
      <c r="K164" s="99">
        <f t="shared" si="17"/>
        <v>702000000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234</v>
      </c>
      <c r="H165" s="99">
        <f t="shared" si="15"/>
        <v>1</v>
      </c>
      <c r="I165" s="99">
        <f t="shared" si="13"/>
        <v>699000000</v>
      </c>
      <c r="J165" s="99">
        <f t="shared" si="16"/>
        <v>0</v>
      </c>
      <c r="K165" s="99">
        <f t="shared" si="17"/>
        <v>699000000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233</v>
      </c>
      <c r="H166" s="99">
        <f t="shared" si="15"/>
        <v>1</v>
      </c>
      <c r="I166" s="99">
        <f t="shared" si="13"/>
        <v>4712848</v>
      </c>
      <c r="J166" s="99">
        <f t="shared" si="16"/>
        <v>13883344</v>
      </c>
      <c r="K166" s="99">
        <f t="shared" si="17"/>
        <v>-9170496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228</v>
      </c>
      <c r="H167" s="99">
        <f t="shared" si="15"/>
        <v>0</v>
      </c>
      <c r="I167" s="99">
        <f t="shared" si="13"/>
        <v>-684205200</v>
      </c>
      <c r="J167" s="99">
        <f t="shared" si="16"/>
        <v>0</v>
      </c>
      <c r="K167" s="99">
        <f t="shared" si="17"/>
        <v>-684205200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210</v>
      </c>
      <c r="H168" s="99">
        <f t="shared" si="15"/>
        <v>0</v>
      </c>
      <c r="I168" s="99">
        <f t="shared" si="13"/>
        <v>-630189000</v>
      </c>
      <c r="J168" s="99">
        <f t="shared" si="16"/>
        <v>0</v>
      </c>
      <c r="K168" s="99">
        <f t="shared" si="17"/>
        <v>-630189000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202</v>
      </c>
      <c r="H169" s="99">
        <f t="shared" si="15"/>
        <v>1</v>
      </c>
      <c r="I169" s="99">
        <f t="shared" si="13"/>
        <v>4362705</v>
      </c>
      <c r="J169" s="99">
        <f t="shared" si="16"/>
        <v>13771515</v>
      </c>
      <c r="K169" s="99">
        <f t="shared" si="17"/>
        <v>-9408810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178</v>
      </c>
      <c r="H170" s="99">
        <f t="shared" si="15"/>
        <v>1</v>
      </c>
      <c r="I170" s="99">
        <f t="shared" si="13"/>
        <v>885000000</v>
      </c>
      <c r="J170" s="99">
        <f t="shared" si="16"/>
        <v>0</v>
      </c>
      <c r="K170" s="99">
        <f t="shared" si="17"/>
        <v>885000000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177</v>
      </c>
      <c r="H171" s="99">
        <f t="shared" si="15"/>
        <v>0</v>
      </c>
      <c r="I171" s="99">
        <f t="shared" si="13"/>
        <v>-885000000</v>
      </c>
      <c r="J171" s="99">
        <f t="shared" si="16"/>
        <v>0</v>
      </c>
      <c r="K171" s="99">
        <f t="shared" si="17"/>
        <v>-885000000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171</v>
      </c>
      <c r="H172" s="99">
        <f t="shared" si="15"/>
        <v>1</v>
      </c>
      <c r="I172" s="99">
        <f t="shared" si="13"/>
        <v>84320</v>
      </c>
      <c r="J172" s="99">
        <f t="shared" si="16"/>
        <v>10655770</v>
      </c>
      <c r="K172" s="99">
        <f t="shared" si="17"/>
        <v>-10571450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170</v>
      </c>
      <c r="H173" s="99">
        <f t="shared" si="15"/>
        <v>1</v>
      </c>
      <c r="I173" s="99">
        <f t="shared" si="13"/>
        <v>132665000</v>
      </c>
      <c r="J173" s="99">
        <f t="shared" si="16"/>
        <v>0</v>
      </c>
      <c r="K173" s="99">
        <f t="shared" si="17"/>
        <v>132665000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159</v>
      </c>
      <c r="H174" s="99">
        <f t="shared" si="15"/>
        <v>0</v>
      </c>
      <c r="I174" s="99">
        <f t="shared" si="13"/>
        <v>-5088000</v>
      </c>
      <c r="J174" s="99">
        <f t="shared" si="16"/>
        <v>0</v>
      </c>
      <c r="K174" s="99">
        <f t="shared" si="17"/>
        <v>-5088000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157</v>
      </c>
      <c r="H175" s="99">
        <f t="shared" si="15"/>
        <v>0</v>
      </c>
      <c r="I175" s="99">
        <f t="shared" si="13"/>
        <v>-117750000</v>
      </c>
      <c r="J175" s="99">
        <f t="shared" si="16"/>
        <v>0</v>
      </c>
      <c r="K175" s="99">
        <f t="shared" si="17"/>
        <v>-117750000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148</v>
      </c>
      <c r="H176" s="99">
        <f t="shared" si="15"/>
        <v>0</v>
      </c>
      <c r="I176" s="99">
        <f t="shared" si="13"/>
        <v>-1390608</v>
      </c>
      <c r="J176" s="99">
        <f t="shared" si="16"/>
        <v>0</v>
      </c>
      <c r="K176" s="99">
        <f t="shared" si="17"/>
        <v>-1390608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147</v>
      </c>
      <c r="H177" s="99">
        <f t="shared" si="15"/>
        <v>0</v>
      </c>
      <c r="I177" s="99">
        <f t="shared" si="13"/>
        <v>-6365100</v>
      </c>
      <c r="J177" s="99">
        <f t="shared" si="16"/>
        <v>0</v>
      </c>
      <c r="K177" s="99">
        <f t="shared" si="17"/>
        <v>-6365100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144</v>
      </c>
      <c r="H178" s="99">
        <f t="shared" si="15"/>
        <v>1</v>
      </c>
      <c r="I178" s="99">
        <f t="shared" si="13"/>
        <v>51480000</v>
      </c>
      <c r="J178" s="99">
        <f t="shared" si="16"/>
        <v>0</v>
      </c>
      <c r="K178" s="99">
        <f t="shared" si="17"/>
        <v>51480000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142</v>
      </c>
      <c r="H179" s="99">
        <f t="shared" si="15"/>
        <v>1</v>
      </c>
      <c r="I179" s="99">
        <f t="shared" si="13"/>
        <v>423000000</v>
      </c>
      <c r="J179" s="99">
        <f t="shared" si="16"/>
        <v>0</v>
      </c>
      <c r="K179" s="99">
        <f t="shared" si="17"/>
        <v>423000000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142</v>
      </c>
      <c r="H180" s="99">
        <f t="shared" si="15"/>
        <v>0</v>
      </c>
      <c r="I180" s="99">
        <f t="shared" si="13"/>
        <v>-1711100</v>
      </c>
      <c r="J180" s="99">
        <f t="shared" si="16"/>
        <v>0</v>
      </c>
      <c r="K180" s="99">
        <f t="shared" si="17"/>
        <v>-1711100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140</v>
      </c>
      <c r="H181" s="99">
        <f t="shared" si="15"/>
        <v>1</v>
      </c>
      <c r="I181" s="99">
        <f t="shared" si="13"/>
        <v>417000000</v>
      </c>
      <c r="J181" s="99">
        <f t="shared" si="16"/>
        <v>0</v>
      </c>
      <c r="K181" s="99">
        <f t="shared" si="17"/>
        <v>417000000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138</v>
      </c>
      <c r="H182" s="99">
        <f t="shared" si="15"/>
        <v>0</v>
      </c>
      <c r="I182" s="99">
        <f t="shared" si="13"/>
        <v>-4940400</v>
      </c>
      <c r="J182" s="99">
        <f t="shared" si="16"/>
        <v>0</v>
      </c>
      <c r="K182" s="99">
        <f t="shared" si="17"/>
        <v>-4940400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137</v>
      </c>
      <c r="H183" s="99">
        <f t="shared" si="15"/>
        <v>1</v>
      </c>
      <c r="I183" s="99">
        <f t="shared" si="13"/>
        <v>489600000</v>
      </c>
      <c r="J183" s="99">
        <f t="shared" si="16"/>
        <v>0</v>
      </c>
      <c r="K183" s="99">
        <f t="shared" si="17"/>
        <v>489600000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137</v>
      </c>
      <c r="H184" s="99">
        <f t="shared" si="15"/>
        <v>0</v>
      </c>
      <c r="I184" s="99">
        <f t="shared" si="13"/>
        <v>-4572649</v>
      </c>
      <c r="J184" s="99">
        <f t="shared" si="16"/>
        <v>0</v>
      </c>
      <c r="K184" s="99">
        <f t="shared" si="17"/>
        <v>-4572649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134</v>
      </c>
      <c r="H185" s="99">
        <f t="shared" si="15"/>
        <v>0</v>
      </c>
      <c r="I185" s="99">
        <f t="shared" si="13"/>
        <v>-1313200000</v>
      </c>
      <c r="J185" s="99">
        <f t="shared" si="16"/>
        <v>0</v>
      </c>
      <c r="K185" s="99">
        <f t="shared" si="17"/>
        <v>-1313200000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134</v>
      </c>
      <c r="H186" s="99">
        <f t="shared" si="15"/>
        <v>1</v>
      </c>
      <c r="I186" s="99">
        <f t="shared" si="13"/>
        <v>2394000000</v>
      </c>
      <c r="J186" s="99">
        <f t="shared" si="16"/>
        <v>0</v>
      </c>
      <c r="K186" s="99">
        <f t="shared" si="17"/>
        <v>2394000000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134</v>
      </c>
      <c r="H187" s="99">
        <f t="shared" si="15"/>
        <v>0</v>
      </c>
      <c r="I187" s="99">
        <f t="shared" si="13"/>
        <v>-1206000000</v>
      </c>
      <c r="J187" s="99">
        <f t="shared" si="16"/>
        <v>0</v>
      </c>
      <c r="K187" s="99">
        <f t="shared" si="17"/>
        <v>-1206000000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134</v>
      </c>
      <c r="H188" s="99">
        <f t="shared" si="15"/>
        <v>0</v>
      </c>
      <c r="I188" s="99">
        <f t="shared" si="13"/>
        <v>-1554400</v>
      </c>
      <c r="J188" s="99">
        <f t="shared" si="16"/>
        <v>0</v>
      </c>
      <c r="K188" s="99">
        <f t="shared" si="17"/>
        <v>-1554400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134</v>
      </c>
      <c r="H189" s="99">
        <f t="shared" si="15"/>
        <v>0</v>
      </c>
      <c r="I189" s="99">
        <f t="shared" si="13"/>
        <v>-442779818</v>
      </c>
      <c r="J189" s="99">
        <f t="shared" si="16"/>
        <v>0</v>
      </c>
      <c r="K189" s="99">
        <f t="shared" si="17"/>
        <v>-442779818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133</v>
      </c>
      <c r="H190" s="99">
        <f t="shared" si="15"/>
        <v>0</v>
      </c>
      <c r="I190" s="99">
        <f t="shared" si="13"/>
        <v>-399119700</v>
      </c>
      <c r="J190" s="99">
        <f t="shared" si="16"/>
        <v>0</v>
      </c>
      <c r="K190" s="99">
        <f t="shared" si="17"/>
        <v>-399119700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132</v>
      </c>
      <c r="H191" s="99">
        <f t="shared" si="15"/>
        <v>0</v>
      </c>
      <c r="I191" s="99">
        <f t="shared" si="13"/>
        <v>-364438800</v>
      </c>
      <c r="J191" s="99">
        <f t="shared" si="16"/>
        <v>0</v>
      </c>
      <c r="K191" s="99">
        <f t="shared" si="17"/>
        <v>-364438800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127</v>
      </c>
      <c r="H192" s="99">
        <f t="shared" si="15"/>
        <v>1</v>
      </c>
      <c r="I192" s="99">
        <f t="shared" si="13"/>
        <v>126000000</v>
      </c>
      <c r="J192" s="99">
        <f t="shared" si="16"/>
        <v>0</v>
      </c>
      <c r="K192" s="99">
        <f t="shared" si="17"/>
        <v>126000000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126</v>
      </c>
      <c r="H193" s="99">
        <f t="shared" si="15"/>
        <v>0</v>
      </c>
      <c r="I193" s="99">
        <f t="shared" si="13"/>
        <v>-1890000</v>
      </c>
      <c r="J193" s="99">
        <f t="shared" si="16"/>
        <v>0</v>
      </c>
      <c r="K193" s="99">
        <f t="shared" si="17"/>
        <v>-1890000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124</v>
      </c>
      <c r="H194" s="99">
        <f t="shared" si="15"/>
        <v>0</v>
      </c>
      <c r="I194" s="99">
        <f t="shared" si="13"/>
        <v>-122760000</v>
      </c>
      <c r="J194" s="99">
        <f t="shared" si="16"/>
        <v>0</v>
      </c>
      <c r="K194" s="99">
        <f t="shared" si="17"/>
        <v>-122760000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124</v>
      </c>
      <c r="H195" s="99">
        <f t="shared" si="15"/>
        <v>1</v>
      </c>
      <c r="I195" s="99">
        <f t="shared" si="13"/>
        <v>96309000</v>
      </c>
      <c r="J195" s="99">
        <f t="shared" si="16"/>
        <v>0</v>
      </c>
      <c r="K195" s="99">
        <f t="shared" si="17"/>
        <v>96309000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122</v>
      </c>
      <c r="H196" s="99">
        <f t="shared" si="15"/>
        <v>0</v>
      </c>
      <c r="I196" s="99">
        <f t="shared" si="13"/>
        <v>-91561000</v>
      </c>
      <c r="J196" s="99">
        <f t="shared" si="16"/>
        <v>0</v>
      </c>
      <c r="K196" s="99">
        <f t="shared" si="17"/>
        <v>-91561000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120</v>
      </c>
      <c r="H197" s="99">
        <f t="shared" si="15"/>
        <v>1</v>
      </c>
      <c r="I197" s="99">
        <f t="shared" si="13"/>
        <v>83300000</v>
      </c>
      <c r="J197" s="99">
        <f t="shared" si="16"/>
        <v>0</v>
      </c>
      <c r="K197" s="99">
        <f t="shared" si="17"/>
        <v>83300000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120</v>
      </c>
      <c r="H198" s="99">
        <f t="shared" si="15"/>
        <v>0</v>
      </c>
      <c r="I198" s="99">
        <f t="shared" si="13"/>
        <v>-11880000</v>
      </c>
      <c r="J198" s="99">
        <f t="shared" si="16"/>
        <v>0</v>
      </c>
      <c r="K198" s="99">
        <f t="shared" si="17"/>
        <v>-11880000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119</v>
      </c>
      <c r="H199" s="99">
        <f t="shared" si="15"/>
        <v>0</v>
      </c>
      <c r="I199" s="99">
        <f t="shared" si="13"/>
        <v>-24484250</v>
      </c>
      <c r="J199" s="99">
        <f t="shared" si="16"/>
        <v>0</v>
      </c>
      <c r="K199" s="99">
        <f t="shared" si="17"/>
        <v>-24484250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119</v>
      </c>
      <c r="H200" s="99">
        <f t="shared" si="15"/>
        <v>0</v>
      </c>
      <c r="I200" s="99">
        <f t="shared" si="13"/>
        <v>-11305000</v>
      </c>
      <c r="J200" s="99">
        <f t="shared" si="16"/>
        <v>0</v>
      </c>
      <c r="K200" s="99">
        <f t="shared" si="17"/>
        <v>-11305000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116</v>
      </c>
      <c r="H201" s="99">
        <f t="shared" si="15"/>
        <v>1</v>
      </c>
      <c r="I201" s="99">
        <f t="shared" si="13"/>
        <v>5594750000</v>
      </c>
      <c r="J201" s="99">
        <f t="shared" si="16"/>
        <v>0</v>
      </c>
      <c r="K201" s="99">
        <f t="shared" si="17"/>
        <v>5594750000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116</v>
      </c>
      <c r="H202" s="99">
        <f t="shared" si="15"/>
        <v>0</v>
      </c>
      <c r="I202" s="99">
        <f t="shared" si="13"/>
        <v>-348104400</v>
      </c>
      <c r="J202" s="99">
        <f t="shared" si="16"/>
        <v>0</v>
      </c>
      <c r="K202" s="99">
        <f t="shared" si="17"/>
        <v>-348104400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116</v>
      </c>
      <c r="H203" s="99">
        <f t="shared" si="15"/>
        <v>0</v>
      </c>
      <c r="I203" s="99">
        <f t="shared" si="13"/>
        <v>-580000</v>
      </c>
      <c r="J203" s="99">
        <f t="shared" si="16"/>
        <v>0</v>
      </c>
      <c r="K203" s="99">
        <f t="shared" si="17"/>
        <v>-580000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116</v>
      </c>
      <c r="H204" s="99">
        <f t="shared" si="15"/>
        <v>0</v>
      </c>
      <c r="I204" s="99">
        <f t="shared" si="13"/>
        <v>-3886000000</v>
      </c>
      <c r="J204" s="99">
        <f t="shared" si="16"/>
        <v>0</v>
      </c>
      <c r="K204" s="99">
        <f t="shared" si="17"/>
        <v>-3886000000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85" si="19">G206+F205</f>
        <v>115</v>
      </c>
      <c r="H205" s="99">
        <f t="shared" si="15"/>
        <v>0</v>
      </c>
      <c r="I205" s="99">
        <f t="shared" si="13"/>
        <v>-1430025000</v>
      </c>
      <c r="J205" s="99">
        <f t="shared" si="16"/>
        <v>0</v>
      </c>
      <c r="K205" s="99">
        <f t="shared" si="17"/>
        <v>-1430025000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112</v>
      </c>
      <c r="H206" s="99">
        <f t="shared" si="15"/>
        <v>0</v>
      </c>
      <c r="I206" s="99">
        <f t="shared" si="13"/>
        <v>-2072000</v>
      </c>
      <c r="J206" s="99">
        <f t="shared" si="16"/>
        <v>0</v>
      </c>
      <c r="K206" s="99">
        <f t="shared" si="17"/>
        <v>-2072000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110</v>
      </c>
      <c r="H207" s="99">
        <f t="shared" si="15"/>
        <v>1</v>
      </c>
      <c r="I207" s="99">
        <f t="shared" si="13"/>
        <v>1578320</v>
      </c>
      <c r="J207" s="99">
        <f t="shared" ref="J207:J285" si="20">C207*(G207-H207)</f>
        <v>7725266</v>
      </c>
      <c r="K207" s="99">
        <f t="shared" si="17"/>
        <v>-6146946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109</v>
      </c>
      <c r="H208" s="99">
        <f t="shared" si="15"/>
        <v>1</v>
      </c>
      <c r="I208" s="99">
        <f t="shared" si="13"/>
        <v>89640000</v>
      </c>
      <c r="J208" s="99">
        <f t="shared" si="20"/>
        <v>0</v>
      </c>
      <c r="K208" s="99">
        <f t="shared" si="17"/>
        <v>89640000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107</v>
      </c>
      <c r="H209" s="99">
        <f t="shared" si="15"/>
        <v>0</v>
      </c>
      <c r="I209" s="99">
        <f t="shared" si="13"/>
        <v>-5611080</v>
      </c>
      <c r="J209" s="99">
        <f t="shared" si="20"/>
        <v>0</v>
      </c>
      <c r="K209" s="99">
        <f t="shared" si="17"/>
        <v>-5611080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106</v>
      </c>
      <c r="H210" s="99">
        <f t="shared" si="15"/>
        <v>0</v>
      </c>
      <c r="I210" s="99">
        <f t="shared" si="13"/>
        <v>-5416600</v>
      </c>
      <c r="J210" s="99">
        <f t="shared" si="20"/>
        <v>0</v>
      </c>
      <c r="K210" s="99">
        <f t="shared" si="17"/>
        <v>-5416600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105</v>
      </c>
      <c r="H211" s="99">
        <f t="shared" si="15"/>
        <v>0</v>
      </c>
      <c r="I211" s="99">
        <f t="shared" si="13"/>
        <v>-21000000</v>
      </c>
      <c r="J211" s="99">
        <f t="shared" si="20"/>
        <v>0</v>
      </c>
      <c r="K211" s="99">
        <f t="shared" si="17"/>
        <v>-21000000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104</v>
      </c>
      <c r="H212" s="99">
        <f t="shared" si="15"/>
        <v>0</v>
      </c>
      <c r="I212" s="99">
        <f t="shared" si="13"/>
        <v>-2912000</v>
      </c>
      <c r="J212" s="99">
        <f t="shared" si="20"/>
        <v>0</v>
      </c>
      <c r="K212" s="99">
        <f t="shared" si="17"/>
        <v>-2912000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103</v>
      </c>
      <c r="H213" s="99">
        <f t="shared" si="15"/>
        <v>0</v>
      </c>
      <c r="I213" s="99">
        <f t="shared" si="13"/>
        <v>-6087300</v>
      </c>
      <c r="J213" s="99">
        <f t="shared" si="20"/>
        <v>0</v>
      </c>
      <c r="K213" s="99">
        <f t="shared" si="17"/>
        <v>-6087300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102</v>
      </c>
      <c r="H214" s="99">
        <f t="shared" si="15"/>
        <v>0</v>
      </c>
      <c r="I214" s="99">
        <f t="shared" si="13"/>
        <v>-3060000</v>
      </c>
      <c r="J214" s="99">
        <f t="shared" si="20"/>
        <v>0</v>
      </c>
      <c r="K214" s="99">
        <f t="shared" si="17"/>
        <v>-3060000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102</v>
      </c>
      <c r="H215" s="99">
        <f t="shared" si="15"/>
        <v>0</v>
      </c>
      <c r="I215" s="99">
        <f t="shared" si="13"/>
        <v>-18156000</v>
      </c>
      <c r="J215" s="99">
        <f t="shared" si="20"/>
        <v>0</v>
      </c>
      <c r="K215" s="99">
        <f t="shared" si="17"/>
        <v>-18156000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101</v>
      </c>
      <c r="H216" s="99">
        <f t="shared" si="15"/>
        <v>0</v>
      </c>
      <c r="I216" s="99">
        <f t="shared" si="13"/>
        <v>-9656610</v>
      </c>
      <c r="J216" s="99">
        <f t="shared" si="20"/>
        <v>0</v>
      </c>
      <c r="K216" s="99">
        <f t="shared" si="17"/>
        <v>-9656610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98</v>
      </c>
      <c r="H217" s="99">
        <f t="shared" si="15"/>
        <v>0</v>
      </c>
      <c r="I217" s="99">
        <f t="shared" si="13"/>
        <v>-8232000</v>
      </c>
      <c r="J217" s="99">
        <f t="shared" si="20"/>
        <v>0</v>
      </c>
      <c r="K217" s="99">
        <f t="shared" si="17"/>
        <v>-8232000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84" si="21">G219+F218</f>
        <v>96</v>
      </c>
      <c r="H218" s="99">
        <f t="shared" si="15"/>
        <v>0</v>
      </c>
      <c r="I218" s="99">
        <f t="shared" si="13"/>
        <v>-3168000</v>
      </c>
      <c r="J218" s="99">
        <f t="shared" si="20"/>
        <v>0</v>
      </c>
      <c r="K218" s="99">
        <f t="shared" si="17"/>
        <v>-3168000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93</v>
      </c>
      <c r="H219" s="99">
        <f t="shared" si="15"/>
        <v>1</v>
      </c>
      <c r="I219" s="99">
        <f t="shared" si="13"/>
        <v>142416000</v>
      </c>
      <c r="J219" s="99">
        <f t="shared" si="20"/>
        <v>0</v>
      </c>
      <c r="K219" s="99">
        <f t="shared" si="17"/>
        <v>142416000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92</v>
      </c>
      <c r="H220" s="99">
        <f t="shared" si="15"/>
        <v>0</v>
      </c>
      <c r="I220" s="99">
        <f t="shared" si="13"/>
        <v>-128864400</v>
      </c>
      <c r="J220" s="99">
        <f t="shared" si="20"/>
        <v>0</v>
      </c>
      <c r="K220" s="99">
        <f t="shared" si="17"/>
        <v>-128864400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92</v>
      </c>
      <c r="H221" s="99">
        <f t="shared" si="15"/>
        <v>0</v>
      </c>
      <c r="I221" s="99">
        <f t="shared" si="13"/>
        <v>-920000</v>
      </c>
      <c r="J221" s="99">
        <f t="shared" si="20"/>
        <v>0</v>
      </c>
      <c r="K221" s="99">
        <f t="shared" si="17"/>
        <v>-920000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92</v>
      </c>
      <c r="H222" s="99">
        <f t="shared" si="15"/>
        <v>0</v>
      </c>
      <c r="I222" s="99">
        <f t="shared" si="13"/>
        <v>-460000</v>
      </c>
      <c r="J222" s="99">
        <f t="shared" si="20"/>
        <v>-230000</v>
      </c>
      <c r="K222" s="99">
        <f t="shared" si="17"/>
        <v>-230000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86</v>
      </c>
      <c r="H223" s="99">
        <f t="shared" si="15"/>
        <v>0</v>
      </c>
      <c r="I223" s="99">
        <f t="shared" si="13"/>
        <v>-16340000</v>
      </c>
      <c r="J223" s="99">
        <f t="shared" si="20"/>
        <v>0</v>
      </c>
      <c r="K223" s="99">
        <f t="shared" si="17"/>
        <v>-16340000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79</v>
      </c>
      <c r="H224" s="99">
        <f t="shared" si="15"/>
        <v>1</v>
      </c>
      <c r="I224" s="99">
        <f t="shared" si="13"/>
        <v>149058</v>
      </c>
      <c r="J224" s="99">
        <f t="shared" si="20"/>
        <v>5067816</v>
      </c>
      <c r="K224" s="99">
        <f t="shared" si="17"/>
        <v>-4918758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73</v>
      </c>
      <c r="H225" s="99">
        <f t="shared" si="15"/>
        <v>1</v>
      </c>
      <c r="I225" s="99">
        <f t="shared" si="13"/>
        <v>360000000</v>
      </c>
      <c r="J225" s="99">
        <f t="shared" si="20"/>
        <v>0</v>
      </c>
      <c r="K225" s="99">
        <f t="shared" si="17"/>
        <v>360000000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72</v>
      </c>
      <c r="H226" s="99">
        <f t="shared" si="15"/>
        <v>0</v>
      </c>
      <c r="I226" s="99">
        <f t="shared" si="13"/>
        <v>-230400000</v>
      </c>
      <c r="J226" s="99">
        <f t="shared" si="20"/>
        <v>0</v>
      </c>
      <c r="K226" s="99">
        <f t="shared" si="17"/>
        <v>-230400000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72</v>
      </c>
      <c r="H227" s="99">
        <f t="shared" si="15"/>
        <v>1</v>
      </c>
      <c r="I227" s="99">
        <f t="shared" si="13"/>
        <v>170400000</v>
      </c>
      <c r="J227" s="99">
        <f t="shared" si="20"/>
        <v>0</v>
      </c>
      <c r="K227" s="99">
        <f t="shared" si="17"/>
        <v>170400000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70</v>
      </c>
      <c r="H228" s="99">
        <f t="shared" si="15"/>
        <v>0</v>
      </c>
      <c r="I228" s="99">
        <f t="shared" si="13"/>
        <v>-3500000</v>
      </c>
      <c r="J228" s="99">
        <f t="shared" si="20"/>
        <v>0</v>
      </c>
      <c r="K228" s="99">
        <f t="shared" si="17"/>
        <v>-3500000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69</v>
      </c>
      <c r="H229" s="99">
        <f t="shared" si="15"/>
        <v>0</v>
      </c>
      <c r="I229" s="99">
        <f t="shared" si="13"/>
        <v>-282948300</v>
      </c>
      <c r="J229" s="99">
        <f t="shared" si="20"/>
        <v>0</v>
      </c>
      <c r="K229" s="99">
        <f t="shared" si="17"/>
        <v>-282948300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65</v>
      </c>
      <c r="H230" s="99">
        <f t="shared" si="15"/>
        <v>1</v>
      </c>
      <c r="I230" s="99">
        <f t="shared" si="13"/>
        <v>620800000</v>
      </c>
      <c r="J230" s="99">
        <f t="shared" si="20"/>
        <v>0</v>
      </c>
      <c r="K230" s="99">
        <f t="shared" si="17"/>
        <v>620800000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65</v>
      </c>
      <c r="H231" s="99">
        <f t="shared" si="15"/>
        <v>0</v>
      </c>
      <c r="I231" s="99">
        <f t="shared" si="13"/>
        <v>-195058500</v>
      </c>
      <c r="J231" s="99">
        <f t="shared" si="20"/>
        <v>0</v>
      </c>
      <c r="K231" s="99">
        <f t="shared" si="17"/>
        <v>-195058500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64</v>
      </c>
      <c r="H232" s="99">
        <f t="shared" si="15"/>
        <v>0</v>
      </c>
      <c r="I232" s="99">
        <f t="shared" si="13"/>
        <v>-192057600</v>
      </c>
      <c r="J232" s="99">
        <f t="shared" si="20"/>
        <v>0</v>
      </c>
      <c r="K232" s="99">
        <f t="shared" si="17"/>
        <v>-192057600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64</v>
      </c>
      <c r="H233" s="99">
        <f t="shared" si="15"/>
        <v>0</v>
      </c>
      <c r="I233" s="99">
        <f t="shared" si="13"/>
        <v>-35520000</v>
      </c>
      <c r="J233" s="99">
        <f t="shared" si="20"/>
        <v>0</v>
      </c>
      <c r="K233" s="99">
        <f t="shared" si="17"/>
        <v>-35520000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63</v>
      </c>
      <c r="H234" s="99">
        <f t="shared" si="15"/>
        <v>0</v>
      </c>
      <c r="I234" s="99">
        <f t="shared" si="13"/>
        <v>-8716680</v>
      </c>
      <c r="J234" s="99">
        <f t="shared" si="20"/>
        <v>0</v>
      </c>
      <c r="K234" s="99">
        <f t="shared" si="17"/>
        <v>-8716680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62</v>
      </c>
      <c r="H235" s="99">
        <f t="shared" si="15"/>
        <v>0</v>
      </c>
      <c r="I235" s="99">
        <f t="shared" si="13"/>
        <v>-186055800</v>
      </c>
      <c r="J235" s="99">
        <f t="shared" si="20"/>
        <v>0</v>
      </c>
      <c r="K235" s="99">
        <f t="shared" si="17"/>
        <v>-186055800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60</v>
      </c>
      <c r="H236" s="99">
        <f t="shared" si="15"/>
        <v>0</v>
      </c>
      <c r="I236" s="99">
        <f t="shared" si="13"/>
        <v>-3300000</v>
      </c>
      <c r="J236" s="99">
        <f t="shared" si="20"/>
        <v>0</v>
      </c>
      <c r="K236" s="99">
        <f t="shared" si="17"/>
        <v>-3300000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56</v>
      </c>
      <c r="H237" s="99">
        <f t="shared" si="15"/>
        <v>1</v>
      </c>
      <c r="I237" s="99">
        <f t="shared" si="13"/>
        <v>331925000</v>
      </c>
      <c r="J237" s="99">
        <f t="shared" si="20"/>
        <v>0</v>
      </c>
      <c r="K237" s="99">
        <f t="shared" si="17"/>
        <v>331925000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54</v>
      </c>
      <c r="H238" s="99">
        <f t="shared" si="15"/>
        <v>0</v>
      </c>
      <c r="I238" s="99">
        <f t="shared" si="13"/>
        <v>-405000</v>
      </c>
      <c r="J238" s="99">
        <f t="shared" si="20"/>
        <v>0</v>
      </c>
      <c r="K238" s="99">
        <f t="shared" si="17"/>
        <v>-405000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53</v>
      </c>
      <c r="H239" s="99">
        <f t="shared" si="15"/>
        <v>0</v>
      </c>
      <c r="I239" s="99">
        <f t="shared" si="13"/>
        <v>-217221719</v>
      </c>
      <c r="J239" s="99">
        <f t="shared" si="20"/>
        <v>0</v>
      </c>
      <c r="K239" s="99">
        <f t="shared" si="17"/>
        <v>-217221719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53</v>
      </c>
      <c r="H240" s="99">
        <f t="shared" si="15"/>
        <v>0</v>
      </c>
      <c r="I240" s="99">
        <f t="shared" si="13"/>
        <v>-1760925</v>
      </c>
      <c r="J240" s="99">
        <f t="shared" si="20"/>
        <v>0</v>
      </c>
      <c r="K240" s="99">
        <f t="shared" si="17"/>
        <v>-1760925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53</v>
      </c>
      <c r="H241" s="99">
        <f t="shared" si="15"/>
        <v>0</v>
      </c>
      <c r="I241" s="99">
        <f t="shared" si="13"/>
        <v>-100435000</v>
      </c>
      <c r="J241" s="99">
        <f t="shared" si="20"/>
        <v>0</v>
      </c>
      <c r="K241" s="99">
        <f t="shared" si="17"/>
        <v>-100435000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46</v>
      </c>
      <c r="H242" s="99">
        <f t="shared" si="15"/>
        <v>1</v>
      </c>
      <c r="I242" s="99">
        <f t="shared" si="13"/>
        <v>112500000</v>
      </c>
      <c r="J242" s="99">
        <f t="shared" si="20"/>
        <v>0</v>
      </c>
      <c r="K242" s="99">
        <f t="shared" si="17"/>
        <v>112500000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44</v>
      </c>
      <c r="H243" s="99">
        <f t="shared" si="15"/>
        <v>0</v>
      </c>
      <c r="I243" s="99">
        <f t="shared" si="13"/>
        <v>-110000000</v>
      </c>
      <c r="J243" s="99">
        <f t="shared" si="20"/>
        <v>0</v>
      </c>
      <c r="K243" s="99">
        <f t="shared" si="17"/>
        <v>-110000000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42</v>
      </c>
      <c r="H244" s="99">
        <f t="shared" si="15"/>
        <v>1</v>
      </c>
      <c r="I244" s="99">
        <f t="shared" si="13"/>
        <v>45100000</v>
      </c>
      <c r="J244" s="99">
        <f t="shared" si="20"/>
        <v>0</v>
      </c>
      <c r="K244" s="99">
        <f t="shared" si="17"/>
        <v>45100000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40</v>
      </c>
      <c r="H245" s="99">
        <f t="shared" si="15"/>
        <v>1</v>
      </c>
      <c r="I245" s="99">
        <f t="shared" si="13"/>
        <v>117000000</v>
      </c>
      <c r="J245" s="99">
        <f t="shared" si="20"/>
        <v>0</v>
      </c>
      <c r="K245" s="99">
        <f t="shared" si="17"/>
        <v>117000000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38</v>
      </c>
      <c r="H246" s="99">
        <f t="shared" si="15"/>
        <v>0</v>
      </c>
      <c r="I246" s="99">
        <f t="shared" si="13"/>
        <v>-153546600</v>
      </c>
      <c r="J246" s="99">
        <f t="shared" si="20"/>
        <v>0</v>
      </c>
      <c r="K246" s="99">
        <f t="shared" si="17"/>
        <v>-153546600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38</v>
      </c>
      <c r="H247" s="99">
        <f t="shared" si="15"/>
        <v>1</v>
      </c>
      <c r="I247" s="99">
        <f t="shared" si="13"/>
        <v>18130000</v>
      </c>
      <c r="J247" s="99">
        <f t="shared" si="20"/>
        <v>0</v>
      </c>
      <c r="K247" s="99">
        <f t="shared" si="17"/>
        <v>18130000</v>
      </c>
    </row>
    <row r="248" spans="1:13">
      <c r="A248" s="99" t="s">
        <v>4493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37</v>
      </c>
      <c r="H248" s="99">
        <f t="shared" si="15"/>
        <v>1</v>
      </c>
      <c r="I248" s="99">
        <f t="shared" si="13"/>
        <v>50400000</v>
      </c>
      <c r="J248" s="99">
        <f t="shared" si="20"/>
        <v>0</v>
      </c>
      <c r="K248" s="99">
        <f t="shared" si="17"/>
        <v>50400000</v>
      </c>
      <c r="M248" t="s">
        <v>25</v>
      </c>
    </row>
    <row r="249" spans="1:13">
      <c r="A249" s="99" t="s">
        <v>4493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37</v>
      </c>
      <c r="H249" s="99">
        <f t="shared" si="15"/>
        <v>0</v>
      </c>
      <c r="I249" s="99">
        <f t="shared" si="13"/>
        <v>-55500000</v>
      </c>
      <c r="J249" s="99">
        <f t="shared" si="20"/>
        <v>0</v>
      </c>
      <c r="K249" s="99">
        <f t="shared" si="17"/>
        <v>-55500000</v>
      </c>
    </row>
    <row r="250" spans="1:13">
      <c r="A250" s="99" t="s">
        <v>4499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36</v>
      </c>
      <c r="H250" s="99">
        <f t="shared" si="15"/>
        <v>0</v>
      </c>
      <c r="I250" s="99">
        <f t="shared" si="13"/>
        <v>-3600000</v>
      </c>
      <c r="J250" s="99">
        <f t="shared" si="20"/>
        <v>0</v>
      </c>
      <c r="K250" s="99">
        <f t="shared" si="17"/>
        <v>-3600000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35</v>
      </c>
      <c r="H251" s="99">
        <f t="shared" si="15"/>
        <v>0</v>
      </c>
      <c r="I251" s="99">
        <f t="shared" si="13"/>
        <v>-486500</v>
      </c>
      <c r="J251" s="99">
        <f t="shared" si="20"/>
        <v>0</v>
      </c>
      <c r="K251" s="99">
        <f t="shared" si="17"/>
        <v>-486500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35</v>
      </c>
      <c r="H252" s="99">
        <f t="shared" si="15"/>
        <v>1</v>
      </c>
      <c r="I252" s="99">
        <f t="shared" si="13"/>
        <v>10200000</v>
      </c>
      <c r="J252" s="99">
        <f t="shared" si="20"/>
        <v>0</v>
      </c>
      <c r="K252" s="99">
        <f t="shared" si="17"/>
        <v>10200000</v>
      </c>
    </row>
    <row r="253" spans="1:13">
      <c r="A253" s="99" t="s">
        <v>4507</v>
      </c>
      <c r="B253" s="18">
        <v>12000000</v>
      </c>
      <c r="C253" s="18">
        <v>0</v>
      </c>
      <c r="D253" s="18">
        <f t="shared" si="18"/>
        <v>12000000</v>
      </c>
      <c r="E253" s="99" t="s">
        <v>4508</v>
      </c>
      <c r="F253" s="99">
        <v>1</v>
      </c>
      <c r="G253" s="36">
        <f t="shared" si="21"/>
        <v>33</v>
      </c>
      <c r="H253" s="99">
        <f t="shared" si="15"/>
        <v>1</v>
      </c>
      <c r="I253" s="99">
        <f t="shared" si="13"/>
        <v>384000000</v>
      </c>
      <c r="J253" s="99">
        <f t="shared" si="20"/>
        <v>0</v>
      </c>
      <c r="K253" s="99">
        <f t="shared" si="17"/>
        <v>384000000</v>
      </c>
    </row>
    <row r="254" spans="1:13">
      <c r="A254" s="99" t="s">
        <v>4509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32</v>
      </c>
      <c r="H254" s="99">
        <f t="shared" si="15"/>
        <v>1</v>
      </c>
      <c r="I254" s="99">
        <f t="shared" si="13"/>
        <v>93000000</v>
      </c>
      <c r="J254" s="99">
        <f t="shared" si="20"/>
        <v>0</v>
      </c>
      <c r="K254" s="99">
        <f t="shared" si="17"/>
        <v>93000000</v>
      </c>
    </row>
    <row r="255" spans="1:13">
      <c r="A255" s="99" t="s">
        <v>4511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31</v>
      </c>
      <c r="H255" s="99">
        <f t="shared" si="15"/>
        <v>0</v>
      </c>
      <c r="I255" s="99">
        <f t="shared" si="13"/>
        <v>-434000000</v>
      </c>
      <c r="J255" s="99">
        <f t="shared" si="20"/>
        <v>0</v>
      </c>
      <c r="K255" s="99">
        <f t="shared" si="17"/>
        <v>-434000000</v>
      </c>
    </row>
    <row r="256" spans="1:13">
      <c r="A256" s="99" t="s">
        <v>4513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30</v>
      </c>
      <c r="H256" s="99">
        <f t="shared" si="15"/>
        <v>0</v>
      </c>
      <c r="I256" s="99">
        <f t="shared" si="13"/>
        <v>-3749070</v>
      </c>
      <c r="J256" s="99">
        <f t="shared" si="20"/>
        <v>0</v>
      </c>
      <c r="K256" s="99">
        <f t="shared" si="17"/>
        <v>-3749070</v>
      </c>
    </row>
    <row r="257" spans="1:13">
      <c r="A257" s="99" t="s">
        <v>4513</v>
      </c>
      <c r="B257" s="18">
        <v>0</v>
      </c>
      <c r="C257" s="39">
        <v>-7968789</v>
      </c>
      <c r="D257" s="39">
        <f t="shared" si="18"/>
        <v>7968789</v>
      </c>
      <c r="E257" s="99" t="s">
        <v>4515</v>
      </c>
      <c r="F257" s="99">
        <v>1</v>
      </c>
      <c r="G257" s="36">
        <f t="shared" si="21"/>
        <v>30</v>
      </c>
      <c r="H257" s="99">
        <f t="shared" si="15"/>
        <v>0</v>
      </c>
      <c r="I257" s="99">
        <f t="shared" si="13"/>
        <v>0</v>
      </c>
      <c r="J257" s="99">
        <f t="shared" si="20"/>
        <v>-239063670</v>
      </c>
      <c r="K257" s="99">
        <f t="shared" si="17"/>
        <v>239063670</v>
      </c>
    </row>
    <row r="258" spans="1:13">
      <c r="A258" s="99" t="s">
        <v>4517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29</v>
      </c>
      <c r="H258" s="99">
        <f t="shared" si="15"/>
        <v>0</v>
      </c>
      <c r="I258" s="99">
        <f t="shared" si="13"/>
        <v>-38077000</v>
      </c>
      <c r="J258" s="99">
        <f t="shared" si="20"/>
        <v>0</v>
      </c>
      <c r="K258" s="99">
        <f t="shared" si="17"/>
        <v>-38077000</v>
      </c>
    </row>
    <row r="259" spans="1:13">
      <c r="A259" s="99" t="s">
        <v>4525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26</v>
      </c>
      <c r="H259" s="99">
        <f t="shared" si="15"/>
        <v>1</v>
      </c>
      <c r="I259" s="99">
        <f t="shared" si="13"/>
        <v>50000000</v>
      </c>
      <c r="J259" s="99">
        <f t="shared" si="20"/>
        <v>0</v>
      </c>
      <c r="K259" s="99">
        <f t="shared" si="17"/>
        <v>50000000</v>
      </c>
      <c r="M259" t="s">
        <v>25</v>
      </c>
    </row>
    <row r="260" spans="1:13">
      <c r="A260" s="99" t="s">
        <v>4526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25</v>
      </c>
      <c r="H260" s="99">
        <f t="shared" si="15"/>
        <v>0</v>
      </c>
      <c r="I260" s="99">
        <f t="shared" si="13"/>
        <v>-47500000</v>
      </c>
      <c r="J260" s="99">
        <f t="shared" si="20"/>
        <v>0</v>
      </c>
      <c r="K260" s="99">
        <f t="shared" si="17"/>
        <v>-47500000</v>
      </c>
    </row>
    <row r="261" spans="1:13">
      <c r="A261" s="99" t="s">
        <v>4526</v>
      </c>
      <c r="B261" s="18">
        <v>-100500</v>
      </c>
      <c r="C261" s="18">
        <v>0</v>
      </c>
      <c r="D261" s="18">
        <f t="shared" si="18"/>
        <v>-100500</v>
      </c>
      <c r="E261" s="99" t="s">
        <v>4528</v>
      </c>
      <c r="F261" s="99">
        <v>0</v>
      </c>
      <c r="G261" s="36">
        <f t="shared" si="21"/>
        <v>25</v>
      </c>
      <c r="H261" s="99">
        <f t="shared" si="15"/>
        <v>0</v>
      </c>
      <c r="I261" s="99">
        <f t="shared" si="13"/>
        <v>-2512500</v>
      </c>
      <c r="J261" s="99">
        <f t="shared" si="20"/>
        <v>0</v>
      </c>
      <c r="K261" s="99">
        <f t="shared" si="17"/>
        <v>-2512500</v>
      </c>
    </row>
    <row r="262" spans="1:13">
      <c r="A262" s="99" t="s">
        <v>4526</v>
      </c>
      <c r="B262" s="18">
        <v>-68670</v>
      </c>
      <c r="C262" s="18">
        <v>0</v>
      </c>
      <c r="D262" s="18">
        <f t="shared" si="18"/>
        <v>-68670</v>
      </c>
      <c r="E262" s="99" t="s">
        <v>4532</v>
      </c>
      <c r="F262" s="99">
        <v>1</v>
      </c>
      <c r="G262" s="36">
        <f t="shared" si="21"/>
        <v>25</v>
      </c>
      <c r="H262" s="99">
        <f t="shared" si="15"/>
        <v>0</v>
      </c>
      <c r="I262" s="99">
        <f t="shared" si="13"/>
        <v>-1716750</v>
      </c>
      <c r="J262" s="99">
        <f t="shared" si="20"/>
        <v>0</v>
      </c>
      <c r="K262" s="99">
        <f t="shared" si="17"/>
        <v>-1716750</v>
      </c>
    </row>
    <row r="263" spans="1:13">
      <c r="A263" s="99" t="s">
        <v>4529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24</v>
      </c>
      <c r="H263" s="99">
        <f t="shared" si="15"/>
        <v>0</v>
      </c>
      <c r="I263" s="99">
        <f t="shared" si="13"/>
        <v>-2846400</v>
      </c>
      <c r="J263" s="99">
        <f t="shared" si="20"/>
        <v>0</v>
      </c>
      <c r="K263" s="99">
        <f t="shared" si="17"/>
        <v>-2846400</v>
      </c>
      <c r="L263" t="s">
        <v>25</v>
      </c>
    </row>
    <row r="264" spans="1:13">
      <c r="A264" s="99" t="s">
        <v>4540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22</v>
      </c>
      <c r="H264" s="99">
        <f t="shared" si="15"/>
        <v>1</v>
      </c>
      <c r="I264" s="99">
        <f t="shared" si="13"/>
        <v>142359000</v>
      </c>
      <c r="J264" s="99">
        <f t="shared" si="20"/>
        <v>0</v>
      </c>
      <c r="K264" s="99">
        <f t="shared" si="17"/>
        <v>142359000</v>
      </c>
    </row>
    <row r="265" spans="1:13">
      <c r="A265" s="99" t="s">
        <v>4540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22</v>
      </c>
      <c r="H265" s="99">
        <f t="shared" si="15"/>
        <v>0</v>
      </c>
      <c r="I265" s="99">
        <f t="shared" si="13"/>
        <v>-140800000</v>
      </c>
      <c r="J265" s="99">
        <f t="shared" si="20"/>
        <v>0</v>
      </c>
      <c r="K265" s="99">
        <f t="shared" si="17"/>
        <v>-140800000</v>
      </c>
    </row>
    <row r="266" spans="1:13">
      <c r="A266" s="99" t="s">
        <v>4540</v>
      </c>
      <c r="B266" s="18">
        <v>-389000</v>
      </c>
      <c r="C266" s="18">
        <v>0</v>
      </c>
      <c r="D266" s="18">
        <f t="shared" si="18"/>
        <v>-389000</v>
      </c>
      <c r="E266" s="99" t="s">
        <v>4543</v>
      </c>
      <c r="F266" s="99">
        <v>4</v>
      </c>
      <c r="G266" s="36">
        <f t="shared" si="21"/>
        <v>22</v>
      </c>
      <c r="H266" s="99">
        <f t="shared" si="15"/>
        <v>0</v>
      </c>
      <c r="I266" s="99">
        <f t="shared" si="13"/>
        <v>-8558000</v>
      </c>
      <c r="J266" s="99">
        <f t="shared" si="20"/>
        <v>0</v>
      </c>
      <c r="K266" s="99">
        <f t="shared" si="17"/>
        <v>-8558000</v>
      </c>
      <c r="M266" t="s">
        <v>25</v>
      </c>
    </row>
    <row r="267" spans="1:13">
      <c r="A267" s="99" t="s">
        <v>4568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18</v>
      </c>
      <c r="H267" s="99">
        <f t="shared" si="15"/>
        <v>1</v>
      </c>
      <c r="I267" s="99">
        <f t="shared" si="13"/>
        <v>3740000</v>
      </c>
      <c r="J267" s="99">
        <f t="shared" si="20"/>
        <v>0</v>
      </c>
      <c r="K267" s="99">
        <f t="shared" si="17"/>
        <v>3740000</v>
      </c>
    </row>
    <row r="268" spans="1:13">
      <c r="A268" s="99" t="s">
        <v>4569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18</v>
      </c>
      <c r="H268" s="99">
        <f t="shared" si="15"/>
        <v>0</v>
      </c>
      <c r="I268" s="99">
        <f t="shared" si="13"/>
        <v>-1969020</v>
      </c>
      <c r="J268" s="99">
        <f t="shared" si="20"/>
        <v>0</v>
      </c>
      <c r="K268" s="99">
        <f t="shared" si="17"/>
        <v>-1969020</v>
      </c>
    </row>
    <row r="269" spans="1:13">
      <c r="A269" s="99" t="s">
        <v>4572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16</v>
      </c>
      <c r="H269" s="99">
        <f t="shared" si="15"/>
        <v>1</v>
      </c>
      <c r="I269" s="99">
        <f t="shared" si="13"/>
        <v>1500000</v>
      </c>
      <c r="J269" s="99">
        <f t="shared" si="20"/>
        <v>0</v>
      </c>
      <c r="K269" s="99">
        <f t="shared" si="17"/>
        <v>1500000</v>
      </c>
    </row>
    <row r="270" spans="1:13">
      <c r="A270" s="99" t="s">
        <v>4572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16</v>
      </c>
      <c r="H270" s="99">
        <f t="shared" si="15"/>
        <v>1</v>
      </c>
      <c r="I270" s="99">
        <f t="shared" si="13"/>
        <v>39000000</v>
      </c>
      <c r="J270" s="99">
        <f t="shared" si="20"/>
        <v>0</v>
      </c>
      <c r="K270" s="99">
        <f t="shared" si="17"/>
        <v>39000000</v>
      </c>
      <c r="L270" t="s">
        <v>25</v>
      </c>
    </row>
    <row r="271" spans="1:13">
      <c r="A271" s="99" t="s">
        <v>4578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15</v>
      </c>
      <c r="H271" s="99">
        <f t="shared" si="15"/>
        <v>1</v>
      </c>
      <c r="I271" s="99">
        <f t="shared" si="13"/>
        <v>61600000</v>
      </c>
      <c r="J271" s="99">
        <f t="shared" si="20"/>
        <v>0</v>
      </c>
      <c r="K271" s="99">
        <f t="shared" si="17"/>
        <v>61600000</v>
      </c>
    </row>
    <row r="272" spans="1:13">
      <c r="A272" s="99" t="s">
        <v>4578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15</v>
      </c>
      <c r="H272" s="99">
        <f t="shared" si="15"/>
        <v>0</v>
      </c>
      <c r="I272" s="99">
        <f t="shared" si="13"/>
        <v>-1425000</v>
      </c>
      <c r="J272" s="99">
        <f t="shared" si="20"/>
        <v>0</v>
      </c>
      <c r="K272" s="99">
        <f t="shared" si="17"/>
        <v>-1425000</v>
      </c>
    </row>
    <row r="273" spans="1:11">
      <c r="A273" s="99" t="s">
        <v>4583</v>
      </c>
      <c r="B273" s="18">
        <v>-900000</v>
      </c>
      <c r="C273" s="18">
        <v>0</v>
      </c>
      <c r="D273" s="18">
        <f t="shared" si="18"/>
        <v>-900000</v>
      </c>
      <c r="E273" s="99" t="s">
        <v>4591</v>
      </c>
      <c r="F273" s="99">
        <v>1</v>
      </c>
      <c r="G273" s="36">
        <f t="shared" si="21"/>
        <v>14</v>
      </c>
      <c r="H273" s="99">
        <f t="shared" si="15"/>
        <v>0</v>
      </c>
      <c r="I273" s="99">
        <f t="shared" si="13"/>
        <v>-12600000</v>
      </c>
      <c r="J273" s="99">
        <f t="shared" si="20"/>
        <v>0</v>
      </c>
      <c r="K273" s="99">
        <f t="shared" si="17"/>
        <v>-12600000</v>
      </c>
    </row>
    <row r="274" spans="1:11">
      <c r="A274" s="99" t="s">
        <v>4588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13</v>
      </c>
      <c r="H274" s="99">
        <f t="shared" si="15"/>
        <v>1</v>
      </c>
      <c r="I274" s="99">
        <f t="shared" si="13"/>
        <v>30000000</v>
      </c>
      <c r="J274" s="99">
        <f t="shared" si="20"/>
        <v>0</v>
      </c>
      <c r="K274" s="99">
        <f t="shared" si="17"/>
        <v>30000000</v>
      </c>
    </row>
    <row r="275" spans="1:11">
      <c r="A275" s="99" t="s">
        <v>4588</v>
      </c>
      <c r="B275" s="18">
        <v>-1287000</v>
      </c>
      <c r="C275" s="18">
        <v>0</v>
      </c>
      <c r="D275" s="18">
        <f t="shared" si="18"/>
        <v>-1287000</v>
      </c>
      <c r="E275" s="99" t="s">
        <v>4589</v>
      </c>
      <c r="F275" s="99">
        <v>2</v>
      </c>
      <c r="G275" s="36">
        <f t="shared" si="21"/>
        <v>13</v>
      </c>
      <c r="H275" s="99">
        <f t="shared" si="15"/>
        <v>0</v>
      </c>
      <c r="I275" s="99">
        <f t="shared" si="13"/>
        <v>-16731000</v>
      </c>
      <c r="J275" s="99">
        <f t="shared" si="20"/>
        <v>0</v>
      </c>
      <c r="K275" s="99">
        <f t="shared" si="17"/>
        <v>-16731000</v>
      </c>
    </row>
    <row r="276" spans="1:11">
      <c r="A276" s="99" t="s">
        <v>4585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11</v>
      </c>
      <c r="H276" s="99">
        <f t="shared" si="15"/>
        <v>1</v>
      </c>
      <c r="I276" s="99">
        <f t="shared" si="13"/>
        <v>38000000</v>
      </c>
      <c r="J276" s="99">
        <f t="shared" si="20"/>
        <v>0</v>
      </c>
      <c r="K276" s="99">
        <f t="shared" si="17"/>
        <v>38000000</v>
      </c>
    </row>
    <row r="277" spans="1:11">
      <c r="A277" s="99" t="s">
        <v>4599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10</v>
      </c>
      <c r="H277" s="99">
        <f t="shared" si="15"/>
        <v>1</v>
      </c>
      <c r="I277" s="99">
        <f t="shared" si="13"/>
        <v>189000000</v>
      </c>
      <c r="J277" s="99">
        <f t="shared" si="20"/>
        <v>0</v>
      </c>
      <c r="K277" s="99">
        <f t="shared" si="17"/>
        <v>189000000</v>
      </c>
    </row>
    <row r="278" spans="1:11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9</v>
      </c>
      <c r="H278" s="99">
        <f t="shared" si="15"/>
        <v>1</v>
      </c>
      <c r="I278" s="99">
        <f t="shared" si="13"/>
        <v>24000000</v>
      </c>
      <c r="J278" s="99">
        <f t="shared" si="20"/>
        <v>0</v>
      </c>
      <c r="K278" s="99">
        <f t="shared" si="17"/>
        <v>24000000</v>
      </c>
    </row>
    <row r="279" spans="1:11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9</v>
      </c>
      <c r="H279" s="99">
        <f t="shared" si="15"/>
        <v>1</v>
      </c>
      <c r="I279" s="99">
        <f t="shared" si="13"/>
        <v>16000000</v>
      </c>
      <c r="J279" s="99">
        <f t="shared" si="20"/>
        <v>0</v>
      </c>
      <c r="K279" s="99">
        <f t="shared" si="17"/>
        <v>16000000</v>
      </c>
    </row>
    <row r="280" spans="1:11">
      <c r="A280" s="99" t="s">
        <v>4609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8</v>
      </c>
      <c r="H280" s="99">
        <f t="shared" si="15"/>
        <v>0</v>
      </c>
      <c r="I280" s="99">
        <f t="shared" si="13"/>
        <v>-16000000</v>
      </c>
      <c r="J280" s="99">
        <f t="shared" si="20"/>
        <v>0</v>
      </c>
      <c r="K280" s="99">
        <f t="shared" si="17"/>
        <v>-16000000</v>
      </c>
    </row>
    <row r="281" spans="1:11">
      <c r="A281" s="99" t="s">
        <v>4611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7</v>
      </c>
      <c r="H281" s="99">
        <f t="shared" si="15"/>
        <v>0</v>
      </c>
      <c r="I281" s="99">
        <f t="shared" si="13"/>
        <v>-70000000</v>
      </c>
      <c r="J281" s="99">
        <f t="shared" si="20"/>
        <v>0</v>
      </c>
      <c r="K281" s="99">
        <f t="shared" si="17"/>
        <v>-70000000</v>
      </c>
    </row>
    <row r="282" spans="1:11">
      <c r="A282" s="99" t="s">
        <v>4614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3</v>
      </c>
      <c r="H282" s="99">
        <f t="shared" si="15"/>
        <v>0</v>
      </c>
      <c r="I282" s="99">
        <f t="shared" si="13"/>
        <v>-50100000</v>
      </c>
      <c r="J282" s="99">
        <f t="shared" si="20"/>
        <v>0</v>
      </c>
      <c r="K282" s="99">
        <f t="shared" si="17"/>
        <v>-50100000</v>
      </c>
    </row>
    <row r="283" spans="1:11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1</v>
      </c>
      <c r="H283" s="99">
        <f t="shared" si="15"/>
        <v>1</v>
      </c>
      <c r="I283" s="99">
        <f t="shared" si="13"/>
        <v>0</v>
      </c>
      <c r="J283" s="99">
        <f t="shared" si="20"/>
        <v>0</v>
      </c>
      <c r="K283" s="99">
        <f t="shared" si="17"/>
        <v>0</v>
      </c>
    </row>
    <row r="284" spans="1:11">
      <c r="A284" s="99"/>
      <c r="B284" s="18"/>
      <c r="C284" s="18"/>
      <c r="D284" s="18"/>
      <c r="E284" s="99"/>
      <c r="F284" s="99"/>
      <c r="G284" s="36">
        <f t="shared" si="21"/>
        <v>0</v>
      </c>
      <c r="H284" s="99">
        <f t="shared" si="15"/>
        <v>0</v>
      </c>
      <c r="I284" s="99">
        <f t="shared" si="13"/>
        <v>0</v>
      </c>
      <c r="J284" s="99">
        <f t="shared" si="20"/>
        <v>0</v>
      </c>
      <c r="K284" s="99">
        <f t="shared" si="17"/>
        <v>0</v>
      </c>
    </row>
    <row r="285" spans="1:11">
      <c r="A285" s="11"/>
      <c r="B285" s="18"/>
      <c r="C285" s="18"/>
      <c r="D285" s="18">
        <f t="shared" si="18"/>
        <v>0</v>
      </c>
      <c r="E285" s="11"/>
      <c r="F285" s="11">
        <v>0</v>
      </c>
      <c r="G285" s="36">
        <f t="shared" si="19"/>
        <v>0</v>
      </c>
      <c r="H285" s="99">
        <f t="shared" si="15"/>
        <v>0</v>
      </c>
      <c r="I285" s="99">
        <f t="shared" si="13"/>
        <v>0</v>
      </c>
      <c r="J285" s="99">
        <f t="shared" si="20"/>
        <v>0</v>
      </c>
      <c r="K285" s="99">
        <f t="shared" si="17"/>
        <v>0</v>
      </c>
    </row>
    <row r="286" spans="1:11">
      <c r="A286" s="11"/>
      <c r="B286" s="29">
        <f>SUM(B2:B285)</f>
        <v>20536041</v>
      </c>
      <c r="C286" s="29">
        <f>SUM(C2:C285)</f>
        <v>0</v>
      </c>
      <c r="D286" s="29">
        <f>SUM(D2:D285)</f>
        <v>20536041</v>
      </c>
      <c r="E286" s="11"/>
      <c r="F286" s="11"/>
      <c r="G286" s="11"/>
      <c r="H286" s="11"/>
      <c r="I286" s="29">
        <f>SUM(I2:I285)</f>
        <v>19061715671</v>
      </c>
      <c r="J286" s="29">
        <f>SUM(J2:J285)</f>
        <v>8687685429</v>
      </c>
      <c r="K286" s="29">
        <f>SUM(K2:K285)</f>
        <v>10374030242</v>
      </c>
    </row>
    <row r="287" spans="1:11">
      <c r="A287" s="11"/>
      <c r="B287" s="11" t="s">
        <v>283</v>
      </c>
      <c r="C287" s="11" t="s">
        <v>488</v>
      </c>
      <c r="D287" s="11" t="s">
        <v>489</v>
      </c>
      <c r="E287" s="11"/>
      <c r="F287" s="11"/>
      <c r="G287" s="11"/>
      <c r="H287" s="11"/>
      <c r="I287" s="11" t="s">
        <v>485</v>
      </c>
      <c r="J287" s="11" t="s">
        <v>486</v>
      </c>
      <c r="K287" s="11" t="s">
        <v>487</v>
      </c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3">
        <f>I286/G2</f>
        <v>18985772.58067729</v>
      </c>
      <c r="J289" s="29">
        <f>J286/G2</f>
        <v>8653073.1364541836</v>
      </c>
      <c r="K289" s="29">
        <f>K286/G2</f>
        <v>10332699.444223108</v>
      </c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11" t="s">
        <v>491</v>
      </c>
      <c r="J290" s="11" t="s">
        <v>492</v>
      </c>
      <c r="K290" s="11" t="s">
        <v>493</v>
      </c>
    </row>
    <row r="293" spans="1:11" ht="30">
      <c r="B293" s="22" t="s">
        <v>854</v>
      </c>
      <c r="D293" s="98">
        <f>D286-D151+D152</f>
        <v>21732680</v>
      </c>
      <c r="G293" t="s">
        <v>25</v>
      </c>
      <c r="J293">
        <f>J286/I286*1448696</f>
        <v>660266.6489983541</v>
      </c>
      <c r="K293">
        <f>K286/I286*1448696</f>
        <v>788429.35100164579</v>
      </c>
    </row>
    <row r="294" spans="1:11">
      <c r="B294" s="7"/>
    </row>
    <row r="295" spans="1:11">
      <c r="B295" s="7"/>
      <c r="I295" t="s">
        <v>25</v>
      </c>
    </row>
    <row r="296" spans="1:11">
      <c r="I29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4599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4493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4493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4499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4507</v>
      </c>
      <c r="B16" s="18">
        <v>12000000</v>
      </c>
      <c r="C16" s="18">
        <v>0</v>
      </c>
      <c r="D16" s="113">
        <f t="shared" si="0"/>
        <v>12000000</v>
      </c>
      <c r="E16" s="20" t="s">
        <v>4508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4509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4511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4513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4513</v>
      </c>
      <c r="B20" s="18">
        <v>0</v>
      </c>
      <c r="C20" s="18">
        <v>-8034286</v>
      </c>
      <c r="D20" s="113">
        <f t="shared" si="0"/>
        <v>8034286</v>
      </c>
      <c r="E20" s="19" t="s">
        <v>4515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4513</v>
      </c>
      <c r="B21" s="18">
        <v>-10000</v>
      </c>
      <c r="C21" s="18">
        <v>0</v>
      </c>
      <c r="D21" s="113">
        <f t="shared" si="0"/>
        <v>-10000</v>
      </c>
      <c r="E21" s="19" t="s">
        <v>4516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4517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4525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4526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4526</v>
      </c>
      <c r="B25" s="18">
        <v>-100500</v>
      </c>
      <c r="C25" s="18">
        <v>0</v>
      </c>
      <c r="D25" s="113">
        <f t="shared" si="0"/>
        <v>-100500</v>
      </c>
      <c r="E25" s="19" t="s">
        <v>4528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4526</v>
      </c>
      <c r="B26" s="18">
        <v>-68670</v>
      </c>
      <c r="C26" s="18">
        <v>0</v>
      </c>
      <c r="D26" s="113">
        <f t="shared" si="0"/>
        <v>-68670</v>
      </c>
      <c r="E26" s="19" t="s">
        <v>4532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4529</v>
      </c>
      <c r="B27" s="18">
        <v>-118600</v>
      </c>
      <c r="C27" s="18">
        <v>0</v>
      </c>
      <c r="D27" s="113">
        <f t="shared" si="0"/>
        <v>-118600</v>
      </c>
      <c r="E27" s="19" t="s">
        <v>4534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4540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4540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4540</v>
      </c>
      <c r="B30" s="18">
        <v>-389000</v>
      </c>
      <c r="C30" s="18">
        <v>0</v>
      </c>
      <c r="D30" s="113">
        <f t="shared" si="0"/>
        <v>-389000</v>
      </c>
      <c r="E30" s="19" t="s">
        <v>4542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4510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4199588.2122186488</v>
      </c>
      <c r="C8" s="99">
        <f>B2*B4*B5/(B1*B3)+B7/B6</f>
        <v>299.97058658704634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G265" sqref="G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950</v>
      </c>
      <c r="E2" s="11">
        <f>IF(B2&gt;0,1,0)</f>
        <v>1</v>
      </c>
      <c r="F2" s="11">
        <f>B2*(D2-E2)</f>
        <v>91768300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948</v>
      </c>
      <c r="E3" s="11">
        <f t="shared" ref="E3:E66" si="1">IF(B3&gt;0,1,0)</f>
        <v>1</v>
      </c>
      <c r="F3" s="11">
        <f t="shared" ref="F3:F66" si="2">B3*(D3-E3)</f>
        <v>2841000000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945</v>
      </c>
      <c r="E4" s="11">
        <f t="shared" si="1"/>
        <v>0</v>
      </c>
      <c r="F4" s="11">
        <f t="shared" si="2"/>
        <v>-189000000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943</v>
      </c>
      <c r="E5" s="11">
        <f t="shared" si="1"/>
        <v>0</v>
      </c>
      <c r="F5" s="11">
        <f t="shared" si="2"/>
        <v>-94300000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942</v>
      </c>
      <c r="E6" s="11">
        <f t="shared" si="1"/>
        <v>0</v>
      </c>
      <c r="F6" s="11">
        <f t="shared" si="2"/>
        <v>-51810000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941</v>
      </c>
      <c r="E7" s="11">
        <f t="shared" si="1"/>
        <v>0</v>
      </c>
      <c r="F7" s="11">
        <f t="shared" si="2"/>
        <v>-188200000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937</v>
      </c>
      <c r="E8" s="11">
        <f t="shared" si="1"/>
        <v>0</v>
      </c>
      <c r="F8" s="11">
        <f t="shared" si="2"/>
        <v>-187400000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927</v>
      </c>
      <c r="E9" s="11">
        <f t="shared" si="1"/>
        <v>0</v>
      </c>
      <c r="F9" s="11">
        <f t="shared" si="2"/>
        <v>-881113500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926</v>
      </c>
      <c r="E10" s="11">
        <f t="shared" si="1"/>
        <v>1</v>
      </c>
      <c r="F10" s="11">
        <f t="shared" si="2"/>
        <v>1850000000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924</v>
      </c>
      <c r="E11" s="11">
        <f t="shared" si="1"/>
        <v>0</v>
      </c>
      <c r="F11" s="11">
        <f t="shared" si="2"/>
        <v>-984060000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921</v>
      </c>
      <c r="E12" s="11">
        <f t="shared" si="1"/>
        <v>0</v>
      </c>
      <c r="F12" s="11">
        <f t="shared" si="2"/>
        <v>-41445000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920</v>
      </c>
      <c r="E13" s="11">
        <f t="shared" si="1"/>
        <v>0</v>
      </c>
      <c r="F13" s="11">
        <f t="shared" si="2"/>
        <v>-1840644000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916</v>
      </c>
      <c r="E14" s="11">
        <f t="shared" si="1"/>
        <v>0</v>
      </c>
      <c r="F14" s="11">
        <f t="shared" si="2"/>
        <v>-183200000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914</v>
      </c>
      <c r="E15" s="11">
        <f t="shared" si="1"/>
        <v>1</v>
      </c>
      <c r="F15" s="11">
        <f t="shared" si="2"/>
        <v>1826000000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914</v>
      </c>
      <c r="E16" s="11">
        <f t="shared" si="1"/>
        <v>1</v>
      </c>
      <c r="F16" s="11">
        <f t="shared" si="2"/>
        <v>1826000000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914</v>
      </c>
      <c r="E17" s="11">
        <f t="shared" si="1"/>
        <v>1</v>
      </c>
      <c r="F17" s="11">
        <f t="shared" si="2"/>
        <v>1095600000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914</v>
      </c>
      <c r="E18" s="11">
        <f t="shared" si="1"/>
        <v>1</v>
      </c>
      <c r="F18" s="11">
        <f t="shared" si="2"/>
        <v>913000000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913</v>
      </c>
      <c r="E19" s="11">
        <f t="shared" si="1"/>
        <v>1</v>
      </c>
      <c r="F19" s="11">
        <f t="shared" si="2"/>
        <v>2736000000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913</v>
      </c>
      <c r="E20" s="11">
        <f t="shared" si="1"/>
        <v>0</v>
      </c>
      <c r="F20" s="11">
        <f t="shared" si="2"/>
        <v>-395055100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913</v>
      </c>
      <c r="E21" s="11">
        <f t="shared" si="1"/>
        <v>0</v>
      </c>
      <c r="F21" s="11">
        <f t="shared" si="2"/>
        <v>-395055100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913</v>
      </c>
      <c r="E22" s="11">
        <f t="shared" si="1"/>
        <v>0</v>
      </c>
      <c r="F22" s="11">
        <f t="shared" si="2"/>
        <v>-395055100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913</v>
      </c>
      <c r="E23" s="11">
        <f t="shared" si="1"/>
        <v>0</v>
      </c>
      <c r="F23" s="11">
        <f t="shared" si="2"/>
        <v>-395055100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913</v>
      </c>
      <c r="E24" s="11">
        <f t="shared" si="1"/>
        <v>0</v>
      </c>
      <c r="F24" s="11">
        <f t="shared" si="2"/>
        <v>-395055100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913</v>
      </c>
      <c r="E25" s="11">
        <f t="shared" si="1"/>
        <v>0</v>
      </c>
      <c r="F25" s="11">
        <f t="shared" si="2"/>
        <v>-182600000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912</v>
      </c>
      <c r="E26" s="11">
        <f t="shared" si="1"/>
        <v>1</v>
      </c>
      <c r="F26" s="11">
        <f t="shared" si="2"/>
        <v>2733000000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910</v>
      </c>
      <c r="E27" s="11">
        <f t="shared" si="1"/>
        <v>0</v>
      </c>
      <c r="F27" s="11">
        <f t="shared" si="2"/>
        <v>-182000000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909</v>
      </c>
      <c r="E28" s="11">
        <f t="shared" si="1"/>
        <v>1</v>
      </c>
      <c r="F28" s="11">
        <f t="shared" si="2"/>
        <v>1816000000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908</v>
      </c>
      <c r="E29" s="11">
        <f t="shared" si="1"/>
        <v>0</v>
      </c>
      <c r="F29" s="11">
        <f t="shared" si="2"/>
        <v>-6356726400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907</v>
      </c>
      <c r="E30" s="11">
        <f t="shared" si="1"/>
        <v>0</v>
      </c>
      <c r="F30" s="11">
        <f t="shared" si="2"/>
        <v>-2721816300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906</v>
      </c>
      <c r="E31" s="11">
        <f t="shared" si="1"/>
        <v>0</v>
      </c>
      <c r="F31" s="11">
        <f t="shared" si="2"/>
        <v>-1536485400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903</v>
      </c>
      <c r="E32" s="11">
        <f t="shared" si="1"/>
        <v>1</v>
      </c>
      <c r="F32" s="11">
        <f t="shared" si="2"/>
        <v>896858600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897</v>
      </c>
      <c r="E33" s="11">
        <f t="shared" si="1"/>
        <v>1</v>
      </c>
      <c r="F33" s="11">
        <f t="shared" si="2"/>
        <v>31441536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896</v>
      </c>
      <c r="E34" s="11">
        <f t="shared" si="1"/>
        <v>0</v>
      </c>
      <c r="F34" s="11">
        <f t="shared" si="2"/>
        <v>-761600000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888</v>
      </c>
      <c r="E35" s="11">
        <f t="shared" si="1"/>
        <v>0</v>
      </c>
      <c r="F35" s="11">
        <f t="shared" si="2"/>
        <v>-169164000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887</v>
      </c>
      <c r="E36" s="11">
        <f t="shared" si="1"/>
        <v>1</v>
      </c>
      <c r="F36" s="11">
        <f t="shared" si="2"/>
        <v>177200000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887</v>
      </c>
      <c r="E37" s="11">
        <f t="shared" si="1"/>
        <v>0</v>
      </c>
      <c r="F37" s="11">
        <f t="shared" si="2"/>
        <v>-177400000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865</v>
      </c>
      <c r="E38" s="11">
        <f t="shared" si="1"/>
        <v>1</v>
      </c>
      <c r="F38" s="11">
        <f t="shared" si="2"/>
        <v>259896384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864</v>
      </c>
      <c r="E39" s="11">
        <f t="shared" si="1"/>
        <v>0</v>
      </c>
      <c r="F39" s="11">
        <f t="shared" si="2"/>
        <v>-82080000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864</v>
      </c>
      <c r="E40" s="11">
        <f t="shared" si="1"/>
        <v>0</v>
      </c>
      <c r="F40" s="11">
        <f t="shared" si="2"/>
        <v>-76120992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859</v>
      </c>
      <c r="E41" s="11">
        <f t="shared" si="1"/>
        <v>0</v>
      </c>
      <c r="F41" s="11">
        <f t="shared" si="2"/>
        <v>-103080000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837</v>
      </c>
      <c r="E42" s="11">
        <f t="shared" si="1"/>
        <v>1</v>
      </c>
      <c r="F42" s="11">
        <f t="shared" si="2"/>
        <v>836170544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833</v>
      </c>
      <c r="E43" s="11">
        <f t="shared" si="1"/>
        <v>0</v>
      </c>
      <c r="F43" s="11">
        <f t="shared" si="2"/>
        <v>-66640000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829</v>
      </c>
      <c r="E44" s="11">
        <f t="shared" si="1"/>
        <v>0</v>
      </c>
      <c r="F44" s="11">
        <f t="shared" si="2"/>
        <v>-174943041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828</v>
      </c>
      <c r="E45" s="11">
        <f t="shared" si="1"/>
        <v>0</v>
      </c>
      <c r="F45" s="11">
        <f t="shared" si="2"/>
        <v>-165600000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827</v>
      </c>
      <c r="E46" s="11">
        <f t="shared" si="1"/>
        <v>0</v>
      </c>
      <c r="F46" s="11">
        <f t="shared" si="2"/>
        <v>-78565000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825</v>
      </c>
      <c r="E47" s="11">
        <f t="shared" si="1"/>
        <v>0</v>
      </c>
      <c r="F47" s="11">
        <f t="shared" si="2"/>
        <v>-37125000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825</v>
      </c>
      <c r="E48" s="11">
        <f t="shared" si="1"/>
        <v>0</v>
      </c>
      <c r="F48" s="11">
        <f t="shared" si="2"/>
        <v>-52948500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822</v>
      </c>
      <c r="E49" s="11">
        <f t="shared" si="1"/>
        <v>0</v>
      </c>
      <c r="F49" s="11">
        <f t="shared" si="2"/>
        <v>-22591848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821</v>
      </c>
      <c r="E50" s="11">
        <f t="shared" si="1"/>
        <v>0</v>
      </c>
      <c r="F50" s="11">
        <f t="shared" si="2"/>
        <v>-115761000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821</v>
      </c>
      <c r="E51" s="11">
        <f t="shared" si="1"/>
        <v>0</v>
      </c>
      <c r="F51" s="11">
        <f t="shared" si="2"/>
        <v>-21958466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820</v>
      </c>
      <c r="E52" s="11">
        <f t="shared" si="1"/>
        <v>0</v>
      </c>
      <c r="F52" s="11">
        <f t="shared" si="2"/>
        <v>-43706000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819</v>
      </c>
      <c r="E53" s="11">
        <f t="shared" si="1"/>
        <v>1</v>
      </c>
      <c r="F53" s="11">
        <f t="shared" si="2"/>
        <v>818000000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813</v>
      </c>
      <c r="E54" s="11">
        <f t="shared" si="1"/>
        <v>0</v>
      </c>
      <c r="F54" s="11">
        <f t="shared" si="2"/>
        <v>-17073000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812</v>
      </c>
      <c r="E55" s="11">
        <f t="shared" si="1"/>
        <v>0</v>
      </c>
      <c r="F55" s="11">
        <f t="shared" si="2"/>
        <v>-796166000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812</v>
      </c>
      <c r="E56" s="11">
        <f t="shared" si="1"/>
        <v>0</v>
      </c>
      <c r="F56" s="11">
        <f t="shared" si="2"/>
        <v>-36540000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799</v>
      </c>
      <c r="E57" s="11">
        <f t="shared" si="1"/>
        <v>1</v>
      </c>
      <c r="F57" s="11">
        <f t="shared" si="2"/>
        <v>2398140822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799</v>
      </c>
      <c r="E58" s="11">
        <f t="shared" si="1"/>
        <v>1</v>
      </c>
      <c r="F58" s="11">
        <f t="shared" si="2"/>
        <v>1596000000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798</v>
      </c>
      <c r="E59" s="11">
        <f t="shared" si="1"/>
        <v>1</v>
      </c>
      <c r="F59" s="11">
        <f t="shared" si="2"/>
        <v>1594000000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798</v>
      </c>
      <c r="E60" s="11">
        <f t="shared" si="1"/>
        <v>0</v>
      </c>
      <c r="F60" s="11">
        <f t="shared" si="2"/>
        <v>-5587197000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774</v>
      </c>
      <c r="E61" s="11">
        <f t="shared" si="1"/>
        <v>1</v>
      </c>
      <c r="F61" s="11">
        <f t="shared" si="2"/>
        <v>2319000000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773</v>
      </c>
      <c r="E62" s="11">
        <f t="shared" si="1"/>
        <v>0</v>
      </c>
      <c r="F62" s="11">
        <f t="shared" si="2"/>
        <v>-20955257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773</v>
      </c>
      <c r="E63" s="11">
        <f t="shared" si="1"/>
        <v>0</v>
      </c>
      <c r="F63" s="11">
        <f t="shared" si="2"/>
        <v>-25500497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773</v>
      </c>
      <c r="E64" s="11">
        <f t="shared" si="1"/>
        <v>1</v>
      </c>
      <c r="F64" s="11">
        <f t="shared" si="2"/>
        <v>2316000000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773</v>
      </c>
      <c r="E65" s="11">
        <f t="shared" si="1"/>
        <v>1</v>
      </c>
      <c r="F65" s="11">
        <f t="shared" si="2"/>
        <v>2292840000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773</v>
      </c>
      <c r="E66" s="11">
        <f t="shared" si="1"/>
        <v>1</v>
      </c>
      <c r="F66" s="11">
        <f t="shared" si="2"/>
        <v>772000000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773</v>
      </c>
      <c r="E67" s="11">
        <f t="shared" ref="E67:E130" si="4">IF(B67&gt;0,1,0)</f>
        <v>1</v>
      </c>
      <c r="F67" s="11">
        <f t="shared" ref="F67:F248" si="5">B67*(D67-E67)</f>
        <v>23160000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772</v>
      </c>
      <c r="E68" s="11">
        <f t="shared" si="4"/>
        <v>1</v>
      </c>
      <c r="F68" s="11">
        <f t="shared" si="5"/>
        <v>23130000000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771</v>
      </c>
      <c r="E69" s="11">
        <f t="shared" si="4"/>
        <v>0</v>
      </c>
      <c r="F69" s="11">
        <f t="shared" si="5"/>
        <v>-154200000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771</v>
      </c>
      <c r="E70" s="11">
        <f t="shared" si="4"/>
        <v>1</v>
      </c>
      <c r="F70" s="11">
        <f t="shared" si="5"/>
        <v>1078000000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771</v>
      </c>
      <c r="E71" s="11">
        <f t="shared" si="4"/>
        <v>1</v>
      </c>
      <c r="F71" s="11">
        <f t="shared" si="5"/>
        <v>2002000000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771</v>
      </c>
      <c r="E72" s="11">
        <f t="shared" si="4"/>
        <v>0</v>
      </c>
      <c r="F72" s="11">
        <f t="shared" si="5"/>
        <v>-771000000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769</v>
      </c>
      <c r="E73" s="11">
        <f t="shared" si="4"/>
        <v>1</v>
      </c>
      <c r="F73" s="11">
        <f t="shared" si="5"/>
        <v>11520000000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764</v>
      </c>
      <c r="E74" s="11">
        <f t="shared" si="4"/>
        <v>0</v>
      </c>
      <c r="F74" s="11">
        <f t="shared" si="5"/>
        <v>-11463208800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762</v>
      </c>
      <c r="E75" s="11">
        <f t="shared" si="4"/>
        <v>0</v>
      </c>
      <c r="F75" s="11">
        <f t="shared" si="5"/>
        <v>-2286000000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762</v>
      </c>
      <c r="E76" s="11">
        <f t="shared" si="4"/>
        <v>0</v>
      </c>
      <c r="F76" s="11">
        <f t="shared" si="5"/>
        <v>-152400000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762</v>
      </c>
      <c r="E77" s="11">
        <f t="shared" si="4"/>
        <v>0</v>
      </c>
      <c r="F77" s="11">
        <f t="shared" si="5"/>
        <v>-9146286000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758</v>
      </c>
      <c r="E78" s="11">
        <f t="shared" si="4"/>
        <v>0</v>
      </c>
      <c r="F78" s="11">
        <f t="shared" si="5"/>
        <v>-2274682200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753</v>
      </c>
      <c r="E79" s="11">
        <f t="shared" si="4"/>
        <v>1</v>
      </c>
      <c r="F79" s="11">
        <f t="shared" si="5"/>
        <v>17296000000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748</v>
      </c>
      <c r="E80" s="11">
        <f t="shared" si="4"/>
        <v>0</v>
      </c>
      <c r="F80" s="11">
        <f t="shared" si="5"/>
        <v>-449174000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748</v>
      </c>
      <c r="E81" s="11">
        <f t="shared" si="4"/>
        <v>0</v>
      </c>
      <c r="F81" s="11">
        <f t="shared" si="5"/>
        <v>-149600000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747</v>
      </c>
      <c r="E82" s="11">
        <f t="shared" si="4"/>
        <v>1</v>
      </c>
      <c r="F82" s="11">
        <f t="shared" si="5"/>
        <v>211282866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747</v>
      </c>
      <c r="E83" s="11">
        <f t="shared" si="4"/>
        <v>0</v>
      </c>
      <c r="F83" s="11">
        <f t="shared" si="5"/>
        <v>-149400000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745</v>
      </c>
      <c r="E84" s="11">
        <f t="shared" si="4"/>
        <v>1</v>
      </c>
      <c r="F84" s="11">
        <f t="shared" si="5"/>
        <v>1488000000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742</v>
      </c>
      <c r="E85" s="11">
        <f t="shared" si="4"/>
        <v>0</v>
      </c>
      <c r="F85" s="11">
        <f t="shared" si="5"/>
        <v>-148400000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736</v>
      </c>
      <c r="E86" s="11">
        <f t="shared" si="4"/>
        <v>0</v>
      </c>
      <c r="F86" s="11">
        <f t="shared" si="5"/>
        <v>-147200000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734</v>
      </c>
      <c r="E87" s="11">
        <f t="shared" si="4"/>
        <v>0</v>
      </c>
      <c r="F87" s="11">
        <f t="shared" si="5"/>
        <v>-972550000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719</v>
      </c>
      <c r="E88" s="11">
        <f t="shared" si="4"/>
        <v>0</v>
      </c>
      <c r="F88" s="11">
        <f t="shared" si="5"/>
        <v>-359500000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719</v>
      </c>
      <c r="E89" s="11">
        <f t="shared" si="4"/>
        <v>0</v>
      </c>
      <c r="F89" s="11">
        <f t="shared" si="5"/>
        <v>-86280000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717</v>
      </c>
      <c r="E90" s="11">
        <f t="shared" si="4"/>
        <v>1</v>
      </c>
      <c r="F90" s="11">
        <f t="shared" si="5"/>
        <v>306594780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714</v>
      </c>
      <c r="E91" s="11">
        <f t="shared" si="4"/>
        <v>0</v>
      </c>
      <c r="F91" s="11">
        <f t="shared" si="5"/>
        <v>-2143428000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712</v>
      </c>
      <c r="E92" s="11">
        <f t="shared" si="4"/>
        <v>0</v>
      </c>
      <c r="F92" s="11">
        <f t="shared" si="5"/>
        <v>-145960000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712</v>
      </c>
      <c r="E93" s="11">
        <f t="shared" si="4"/>
        <v>0</v>
      </c>
      <c r="F93" s="11">
        <f t="shared" si="5"/>
        <v>-249556000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701</v>
      </c>
      <c r="E94" s="11">
        <f t="shared" si="4"/>
        <v>1</v>
      </c>
      <c r="F94" s="11">
        <f t="shared" si="5"/>
        <v>700000000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696</v>
      </c>
      <c r="E95" s="11">
        <f t="shared" si="4"/>
        <v>1</v>
      </c>
      <c r="F95" s="11">
        <f t="shared" si="5"/>
        <v>6255000000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694</v>
      </c>
      <c r="E96" s="11">
        <f t="shared" si="4"/>
        <v>0</v>
      </c>
      <c r="F96" s="11">
        <f t="shared" si="5"/>
        <v>-18044000000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694</v>
      </c>
      <c r="E97" s="11">
        <f t="shared" si="4"/>
        <v>0</v>
      </c>
      <c r="F97" s="11">
        <f t="shared" si="5"/>
        <v>-18044000000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694</v>
      </c>
      <c r="E98" s="11">
        <f t="shared" si="4"/>
        <v>1</v>
      </c>
      <c r="F98" s="11">
        <f t="shared" si="5"/>
        <v>18018000000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694</v>
      </c>
      <c r="E99" s="11">
        <f t="shared" si="4"/>
        <v>0</v>
      </c>
      <c r="F99" s="11">
        <f t="shared" si="5"/>
        <v>-138800000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692</v>
      </c>
      <c r="E100" s="11">
        <f t="shared" si="4"/>
        <v>1</v>
      </c>
      <c r="F100" s="11">
        <f t="shared" si="5"/>
        <v>20177200000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687</v>
      </c>
      <c r="E101" s="11">
        <f t="shared" si="4"/>
        <v>1</v>
      </c>
      <c r="F101" s="11">
        <f t="shared" si="5"/>
        <v>274362270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686</v>
      </c>
      <c r="E102" s="11">
        <f t="shared" si="4"/>
        <v>1</v>
      </c>
      <c r="F102" s="11">
        <f t="shared" si="5"/>
        <v>1370000000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685</v>
      </c>
      <c r="E103" s="11">
        <f t="shared" si="4"/>
        <v>1</v>
      </c>
      <c r="F103" s="11">
        <f t="shared" si="5"/>
        <v>5130000000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685</v>
      </c>
      <c r="E104" s="11">
        <f t="shared" si="4"/>
        <v>0</v>
      </c>
      <c r="F104" s="11">
        <f t="shared" si="5"/>
        <v>-45210000000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685</v>
      </c>
      <c r="E105" s="11">
        <f t="shared" si="4"/>
        <v>0</v>
      </c>
      <c r="F105" s="11">
        <f t="shared" si="5"/>
        <v>-99325000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683</v>
      </c>
      <c r="E106" s="11">
        <f t="shared" si="4"/>
        <v>1</v>
      </c>
      <c r="F106" s="11">
        <f t="shared" si="5"/>
        <v>4092000000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681</v>
      </c>
      <c r="E107" s="11">
        <f t="shared" si="4"/>
        <v>0</v>
      </c>
      <c r="F107" s="11">
        <f t="shared" si="5"/>
        <v>-4090017900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678</v>
      </c>
      <c r="E108" s="11">
        <f t="shared" si="4"/>
        <v>1</v>
      </c>
      <c r="F108" s="11">
        <f t="shared" si="5"/>
        <v>4062000000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666</v>
      </c>
      <c r="E109" s="11">
        <f t="shared" si="4"/>
        <v>0</v>
      </c>
      <c r="F109" s="11">
        <f t="shared" si="5"/>
        <v>-79920000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665</v>
      </c>
      <c r="E110" s="11">
        <f t="shared" si="4"/>
        <v>1</v>
      </c>
      <c r="F110" s="11">
        <f t="shared" si="5"/>
        <v>2656000000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664</v>
      </c>
      <c r="E111" s="11">
        <f t="shared" si="4"/>
        <v>1</v>
      </c>
      <c r="F111" s="11">
        <f t="shared" si="5"/>
        <v>1856400000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660</v>
      </c>
      <c r="E112" s="11">
        <f t="shared" si="4"/>
        <v>0</v>
      </c>
      <c r="F112" s="11">
        <f t="shared" si="5"/>
        <v>-132000000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659</v>
      </c>
      <c r="E113" s="11">
        <f t="shared" si="4"/>
        <v>1</v>
      </c>
      <c r="F113" s="11">
        <f t="shared" si="5"/>
        <v>47579980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642</v>
      </c>
      <c r="E114" s="11">
        <f t="shared" si="4"/>
        <v>0</v>
      </c>
      <c r="F114" s="11">
        <f t="shared" si="5"/>
        <v>-128400000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641</v>
      </c>
      <c r="E115" s="11">
        <f t="shared" si="4"/>
        <v>0</v>
      </c>
      <c r="F115" s="23">
        <f t="shared" si="5"/>
        <v>-7051000000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641</v>
      </c>
      <c r="E116" s="11">
        <f t="shared" si="4"/>
        <v>0</v>
      </c>
      <c r="F116" s="11">
        <f t="shared" si="5"/>
        <v>-128200000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639</v>
      </c>
      <c r="E117" s="11">
        <f t="shared" si="4"/>
        <v>0</v>
      </c>
      <c r="F117" s="11">
        <f t="shared" si="5"/>
        <v>-287869500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639</v>
      </c>
      <c r="E118" s="11">
        <f t="shared" si="4"/>
        <v>0</v>
      </c>
      <c r="F118" s="11">
        <f t="shared" si="5"/>
        <v>-127800000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633</v>
      </c>
      <c r="E119" s="11">
        <f t="shared" si="4"/>
        <v>0</v>
      </c>
      <c r="F119" s="11">
        <f t="shared" si="5"/>
        <v>-97830150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633</v>
      </c>
      <c r="E120" s="11">
        <f t="shared" si="4"/>
        <v>0</v>
      </c>
      <c r="F120" s="11">
        <f t="shared" si="5"/>
        <v>-202560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632</v>
      </c>
      <c r="E121" s="11">
        <f t="shared" si="4"/>
        <v>0</v>
      </c>
      <c r="F121" s="11">
        <f t="shared" si="5"/>
        <v>-273024000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626</v>
      </c>
      <c r="E122" s="11">
        <f t="shared" si="4"/>
        <v>1</v>
      </c>
      <c r="F122" s="11">
        <f t="shared" si="5"/>
        <v>46276875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605</v>
      </c>
      <c r="E123" s="11">
        <f t="shared" si="4"/>
        <v>0</v>
      </c>
      <c r="F123" s="11">
        <f t="shared" si="5"/>
        <v>-31460000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564</v>
      </c>
      <c r="E124" s="11">
        <f t="shared" si="4"/>
        <v>1</v>
      </c>
      <c r="F124" s="11">
        <f t="shared" si="5"/>
        <v>668281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563</v>
      </c>
      <c r="E125" s="11">
        <f t="shared" si="4"/>
        <v>1</v>
      </c>
      <c r="F125" s="11">
        <f t="shared" si="5"/>
        <v>1348800000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561</v>
      </c>
      <c r="E126" s="11">
        <f t="shared" si="4"/>
        <v>1</v>
      </c>
      <c r="F126" s="11">
        <f t="shared" si="5"/>
        <v>751968000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561</v>
      </c>
      <c r="E127" s="11">
        <f t="shared" si="4"/>
        <v>1</v>
      </c>
      <c r="F127" s="11">
        <f t="shared" si="5"/>
        <v>751968000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549</v>
      </c>
      <c r="E128" s="11">
        <f t="shared" si="4"/>
        <v>0</v>
      </c>
      <c r="F128" s="11">
        <f t="shared" si="5"/>
        <v>-109800000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547</v>
      </c>
      <c r="E129" s="11">
        <f t="shared" si="4"/>
        <v>0</v>
      </c>
      <c r="F129" s="11">
        <f>B129*(D129-E129)</f>
        <v>-8543046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546</v>
      </c>
      <c r="E130" s="11">
        <f t="shared" si="4"/>
        <v>0</v>
      </c>
      <c r="F130" s="11">
        <f t="shared" si="5"/>
        <v>-109200000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545</v>
      </c>
      <c r="E131" s="11">
        <f t="shared" ref="E131:E248" si="7">IF(B131&gt;0,1,0)</f>
        <v>0</v>
      </c>
      <c r="F131" s="11">
        <f t="shared" si="5"/>
        <v>-109000000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544</v>
      </c>
      <c r="E132" s="11">
        <f t="shared" si="7"/>
        <v>0</v>
      </c>
      <c r="F132" s="11">
        <f t="shared" si="5"/>
        <v>-212160000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544</v>
      </c>
      <c r="E133" s="11">
        <f t="shared" si="7"/>
        <v>0</v>
      </c>
      <c r="F133" s="11">
        <f t="shared" si="5"/>
        <v>-13328000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543</v>
      </c>
      <c r="E134" s="11">
        <f t="shared" si="7"/>
        <v>0</v>
      </c>
      <c r="F134" s="11">
        <f t="shared" si="5"/>
        <v>-51585000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539</v>
      </c>
      <c r="E135" s="11">
        <f t="shared" si="7"/>
        <v>0</v>
      </c>
      <c r="F135" s="11">
        <f t="shared" si="5"/>
        <v>-107800000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537</v>
      </c>
      <c r="E136" s="11">
        <f t="shared" si="7"/>
        <v>1</v>
      </c>
      <c r="F136" s="11">
        <f t="shared" si="5"/>
        <v>26800000000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536</v>
      </c>
      <c r="E137" s="11">
        <f t="shared" si="7"/>
        <v>1</v>
      </c>
      <c r="F137" s="11">
        <f t="shared" si="5"/>
        <v>6420000000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534</v>
      </c>
      <c r="E138" s="11">
        <f t="shared" si="7"/>
        <v>1</v>
      </c>
      <c r="F138" s="11">
        <f t="shared" si="5"/>
        <v>1066000000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533</v>
      </c>
      <c r="E139" s="11">
        <f t="shared" si="7"/>
        <v>1</v>
      </c>
      <c r="F139" s="11">
        <f t="shared" si="5"/>
        <v>46570216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520</v>
      </c>
      <c r="E140" s="11">
        <f t="shared" si="7"/>
        <v>0</v>
      </c>
      <c r="F140" s="11">
        <f t="shared" si="5"/>
        <v>-1560468000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519</v>
      </c>
      <c r="E141" s="11">
        <f t="shared" si="7"/>
        <v>0</v>
      </c>
      <c r="F141" s="11">
        <f t="shared" si="5"/>
        <v>-1557467100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502</v>
      </c>
      <c r="E142" s="11">
        <f t="shared" si="7"/>
        <v>1</v>
      </c>
      <c r="F142" s="11">
        <f t="shared" si="5"/>
        <v>301614525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502</v>
      </c>
      <c r="E143" s="11">
        <f t="shared" si="7"/>
        <v>0</v>
      </c>
      <c r="F143" s="11">
        <f t="shared" si="5"/>
        <v>-23092000000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471</v>
      </c>
      <c r="E144" s="11">
        <f t="shared" si="7"/>
        <v>1</v>
      </c>
      <c r="F144" s="11">
        <f t="shared" si="5"/>
        <v>72430290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470</v>
      </c>
      <c r="E145" s="11">
        <f t="shared" si="7"/>
        <v>1</v>
      </c>
      <c r="F145" s="11">
        <f t="shared" si="5"/>
        <v>1407000000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467</v>
      </c>
      <c r="E146" s="11">
        <f t="shared" si="7"/>
        <v>0</v>
      </c>
      <c r="F146" s="11">
        <f t="shared" si="5"/>
        <v>-93400000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462</v>
      </c>
      <c r="E147" s="11">
        <f t="shared" si="7"/>
        <v>0</v>
      </c>
      <c r="F147" s="11">
        <f t="shared" si="5"/>
        <v>-92400000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461</v>
      </c>
      <c r="E148" s="11">
        <f t="shared" si="7"/>
        <v>0</v>
      </c>
      <c r="F148" s="11">
        <f t="shared" si="5"/>
        <v>-92200000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457</v>
      </c>
      <c r="E149" s="11">
        <f t="shared" si="7"/>
        <v>0</v>
      </c>
      <c r="F149" s="11">
        <f t="shared" si="5"/>
        <v>-91400000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456</v>
      </c>
      <c r="E150" s="11">
        <f t="shared" si="7"/>
        <v>1</v>
      </c>
      <c r="F150" s="11">
        <f t="shared" si="5"/>
        <v>10953397000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454</v>
      </c>
      <c r="E151" s="11">
        <f t="shared" si="7"/>
        <v>0</v>
      </c>
      <c r="F151" s="11">
        <f t="shared" si="5"/>
        <v>-90800000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448</v>
      </c>
      <c r="E152" s="11">
        <f t="shared" si="7"/>
        <v>0</v>
      </c>
      <c r="F152" s="11">
        <f t="shared" si="5"/>
        <v>-13440000000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447</v>
      </c>
      <c r="E153" s="11">
        <f t="shared" si="7"/>
        <v>0</v>
      </c>
      <c r="F153" s="11">
        <f t="shared" si="5"/>
        <v>-23244000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447</v>
      </c>
      <c r="E154" s="11">
        <f t="shared" si="7"/>
        <v>0</v>
      </c>
      <c r="F154" s="11">
        <f t="shared" si="5"/>
        <v>-60792000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442</v>
      </c>
      <c r="E155" s="11">
        <f t="shared" si="7"/>
        <v>1</v>
      </c>
      <c r="F155" s="11">
        <f t="shared" si="5"/>
        <v>1323000000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441</v>
      </c>
      <c r="E156" s="11">
        <f t="shared" si="7"/>
        <v>1</v>
      </c>
      <c r="F156" s="11">
        <f t="shared" si="5"/>
        <v>83205320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441</v>
      </c>
      <c r="E157" s="11">
        <f t="shared" si="7"/>
        <v>1</v>
      </c>
      <c r="F157" s="11">
        <f t="shared" si="5"/>
        <v>10660188000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433</v>
      </c>
      <c r="E158" s="11">
        <f t="shared" si="7"/>
        <v>1</v>
      </c>
      <c r="F158" s="11">
        <f t="shared" si="5"/>
        <v>10495526400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433</v>
      </c>
      <c r="E159" s="11">
        <f t="shared" si="7"/>
        <v>0</v>
      </c>
      <c r="F159" s="11">
        <f t="shared" si="5"/>
        <v>-87033000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428</v>
      </c>
      <c r="E160" s="11">
        <f t="shared" si="7"/>
        <v>0</v>
      </c>
      <c r="F160" s="11">
        <f t="shared" si="5"/>
        <v>-85600000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425</v>
      </c>
      <c r="E161" s="11">
        <f t="shared" si="7"/>
        <v>0</v>
      </c>
      <c r="F161" s="11">
        <f t="shared" si="5"/>
        <v>-85000000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421</v>
      </c>
      <c r="E162" s="11">
        <f t="shared" si="7"/>
        <v>0</v>
      </c>
      <c r="F162" s="11">
        <f t="shared" si="5"/>
        <v>-84200000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418</v>
      </c>
      <c r="E163" s="11">
        <f t="shared" si="7"/>
        <v>0</v>
      </c>
      <c r="F163" s="11">
        <f t="shared" si="5"/>
        <v>-83600000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411</v>
      </c>
      <c r="E164" s="11">
        <f t="shared" si="7"/>
        <v>1</v>
      </c>
      <c r="F164" s="11">
        <f t="shared" si="5"/>
        <v>187646340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408</v>
      </c>
      <c r="E165" s="11">
        <f t="shared" si="7"/>
        <v>1</v>
      </c>
      <c r="F165" s="11">
        <f t="shared" si="5"/>
        <v>1098900000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408</v>
      </c>
      <c r="E166" s="11">
        <f t="shared" si="7"/>
        <v>1</v>
      </c>
      <c r="F166" s="11">
        <f t="shared" si="5"/>
        <v>1017500000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401</v>
      </c>
      <c r="E167" s="11">
        <f t="shared" si="7"/>
        <v>0</v>
      </c>
      <c r="F167" s="11">
        <f t="shared" si="5"/>
        <v>-80200000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399</v>
      </c>
      <c r="E168" s="11">
        <f t="shared" si="7"/>
        <v>0</v>
      </c>
      <c r="F168" s="11">
        <f t="shared" si="5"/>
        <v>-79800000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393</v>
      </c>
      <c r="E169" s="11">
        <f t="shared" si="7"/>
        <v>0</v>
      </c>
      <c r="F169" s="11">
        <f t="shared" si="5"/>
        <v>-78600000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390</v>
      </c>
      <c r="E170" s="11">
        <f t="shared" si="7"/>
        <v>0</v>
      </c>
      <c r="F170" s="11">
        <f t="shared" si="5"/>
        <v>-78000000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390</v>
      </c>
      <c r="E171" s="11">
        <f t="shared" si="7"/>
        <v>1</v>
      </c>
      <c r="F171" s="11">
        <f t="shared" si="5"/>
        <v>1167000000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387</v>
      </c>
      <c r="E172" s="11">
        <f t="shared" si="7"/>
        <v>0</v>
      </c>
      <c r="F172" s="11">
        <f t="shared" si="5"/>
        <v>-77400000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386</v>
      </c>
      <c r="E173" s="11">
        <f t="shared" si="7"/>
        <v>1</v>
      </c>
      <c r="F173" s="11">
        <f t="shared" si="5"/>
        <v>1155000000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385</v>
      </c>
      <c r="E174" s="11">
        <f t="shared" si="7"/>
        <v>1</v>
      </c>
      <c r="F174" s="11">
        <f t="shared" si="5"/>
        <v>768000000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384</v>
      </c>
      <c r="E175" s="11">
        <f t="shared" si="7"/>
        <v>1</v>
      </c>
      <c r="F175" s="11">
        <f t="shared" si="5"/>
        <v>497900000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382</v>
      </c>
      <c r="E176" s="11">
        <f t="shared" si="7"/>
        <v>0</v>
      </c>
      <c r="F176" s="11">
        <f t="shared" si="5"/>
        <v>-76400000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382</v>
      </c>
      <c r="E177" s="11">
        <f t="shared" si="7"/>
        <v>1</v>
      </c>
      <c r="F177" s="11">
        <f t="shared" si="5"/>
        <v>647700000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381</v>
      </c>
      <c r="E178" s="11">
        <f t="shared" si="7"/>
        <v>0</v>
      </c>
      <c r="F178" s="11">
        <f t="shared" si="5"/>
        <v>-76200000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380</v>
      </c>
      <c r="E179" s="11">
        <f t="shared" si="7"/>
        <v>1</v>
      </c>
      <c r="F179" s="11">
        <f t="shared" si="5"/>
        <v>216595468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377</v>
      </c>
      <c r="E180" s="11">
        <f t="shared" si="7"/>
        <v>1</v>
      </c>
      <c r="F180" s="11">
        <f t="shared" si="5"/>
        <v>1128000000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370</v>
      </c>
      <c r="E181" s="11">
        <f t="shared" si="7"/>
        <v>1</v>
      </c>
      <c r="F181" s="11">
        <f t="shared" si="5"/>
        <v>738000000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362</v>
      </c>
      <c r="E182" s="11">
        <f t="shared" si="7"/>
        <v>0</v>
      </c>
      <c r="F182" s="11">
        <f t="shared" si="5"/>
        <v>-796653400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350</v>
      </c>
      <c r="E183" s="11">
        <f t="shared" si="7"/>
        <v>1</v>
      </c>
      <c r="F183" s="11">
        <f t="shared" si="5"/>
        <v>235605363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320</v>
      </c>
      <c r="E184" s="11">
        <f t="shared" si="7"/>
        <v>1</v>
      </c>
      <c r="F184" s="11">
        <f t="shared" si="5"/>
        <v>215963000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305</v>
      </c>
      <c r="E185" s="11">
        <f t="shared" si="7"/>
        <v>0</v>
      </c>
      <c r="F185" s="11">
        <f t="shared" si="5"/>
        <v>-3050000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300</v>
      </c>
      <c r="E186" s="11">
        <f t="shared" si="7"/>
        <v>0</v>
      </c>
      <c r="F186" s="11">
        <f t="shared" si="5"/>
        <v>-24150000000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295</v>
      </c>
      <c r="E187" s="11">
        <f t="shared" si="7"/>
        <v>0</v>
      </c>
      <c r="F187" s="11">
        <f t="shared" si="5"/>
        <v>-324500000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295</v>
      </c>
      <c r="E188" s="11">
        <f t="shared" si="7"/>
        <v>1</v>
      </c>
      <c r="F188" s="11">
        <f t="shared" si="5"/>
        <v>882000000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294</v>
      </c>
      <c r="E189" s="11">
        <f t="shared" si="7"/>
        <v>1</v>
      </c>
      <c r="F189" s="11">
        <f t="shared" si="5"/>
        <v>586000000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294</v>
      </c>
      <c r="E190" s="11">
        <f t="shared" si="7"/>
        <v>0</v>
      </c>
      <c r="F190" s="11">
        <f t="shared" si="5"/>
        <v>-1470000000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293</v>
      </c>
      <c r="E191" s="11">
        <f t="shared" si="7"/>
        <v>1</v>
      </c>
      <c r="F191" s="11">
        <f t="shared" si="5"/>
        <v>141108416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289</v>
      </c>
      <c r="E192" s="11">
        <f t="shared" si="7"/>
        <v>0</v>
      </c>
      <c r="F192" s="11">
        <f t="shared" si="5"/>
        <v>-33321700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285</v>
      </c>
      <c r="E193" s="11">
        <f t="shared" si="7"/>
        <v>1</v>
      </c>
      <c r="F193" s="11">
        <f t="shared" si="5"/>
        <v>25560000000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278</v>
      </c>
      <c r="E194" s="11">
        <f t="shared" si="7"/>
        <v>1</v>
      </c>
      <c r="F194" s="11">
        <f t="shared" si="5"/>
        <v>14404000000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278</v>
      </c>
      <c r="E195" s="11">
        <f t="shared" si="7"/>
        <v>1</v>
      </c>
      <c r="F195" s="99">
        <f t="shared" si="5"/>
        <v>6925000000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278</v>
      </c>
      <c r="E196" s="99">
        <f t="shared" si="7"/>
        <v>0</v>
      </c>
      <c r="F196" s="99">
        <f t="shared" si="5"/>
        <v>-46704000000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271</v>
      </c>
      <c r="E197" s="99">
        <f t="shared" si="7"/>
        <v>0</v>
      </c>
      <c r="F197" s="99">
        <f t="shared" si="5"/>
        <v>-44850500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267</v>
      </c>
      <c r="E198" s="99">
        <f t="shared" si="7"/>
        <v>0</v>
      </c>
      <c r="F198" s="99">
        <f t="shared" si="5"/>
        <v>-53400000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267</v>
      </c>
      <c r="E199" s="99">
        <f t="shared" si="7"/>
        <v>0</v>
      </c>
      <c r="F199" s="99">
        <f t="shared" si="5"/>
        <v>-12543927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264</v>
      </c>
      <c r="E200" s="99">
        <f t="shared" si="7"/>
        <v>0</v>
      </c>
      <c r="F200" s="99">
        <f t="shared" si="5"/>
        <v>-1227600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262</v>
      </c>
      <c r="E201" s="99">
        <f t="shared" si="7"/>
        <v>1</v>
      </c>
      <c r="F201" s="99">
        <f t="shared" si="5"/>
        <v>41715108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259</v>
      </c>
      <c r="E202" s="99">
        <f t="shared" si="7"/>
        <v>0</v>
      </c>
      <c r="F202" s="99">
        <f t="shared" si="5"/>
        <v>-77829500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259</v>
      </c>
      <c r="E203" s="99">
        <f t="shared" si="7"/>
        <v>1</v>
      </c>
      <c r="F203" s="99">
        <f t="shared" si="5"/>
        <v>1548000000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257</v>
      </c>
      <c r="E204" s="99">
        <f t="shared" si="7"/>
        <v>0</v>
      </c>
      <c r="F204" s="99">
        <f t="shared" si="5"/>
        <v>-176045000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256</v>
      </c>
      <c r="E205" s="99">
        <f t="shared" si="7"/>
        <v>0</v>
      </c>
      <c r="F205" s="99">
        <f t="shared" si="5"/>
        <v>-768000000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255</v>
      </c>
      <c r="E206" s="99">
        <f t="shared" si="7"/>
        <v>0</v>
      </c>
      <c r="F206" s="99">
        <f t="shared" si="5"/>
        <v>-39780000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254</v>
      </c>
      <c r="E207" s="99">
        <f t="shared" si="7"/>
        <v>0</v>
      </c>
      <c r="F207" s="99">
        <f t="shared" si="5"/>
        <v>-16764000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253</v>
      </c>
      <c r="E208" s="99">
        <f t="shared" si="7"/>
        <v>0</v>
      </c>
      <c r="F208" s="99">
        <f t="shared" si="5"/>
        <v>-632727700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251</v>
      </c>
      <c r="E209" s="99">
        <f t="shared" si="7"/>
        <v>1</v>
      </c>
      <c r="F209" s="99">
        <f t="shared" si="5"/>
        <v>750000000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251</v>
      </c>
      <c r="E210" s="99">
        <f t="shared" si="7"/>
        <v>0</v>
      </c>
      <c r="F210" s="99">
        <f t="shared" si="5"/>
        <v>-652951400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249</v>
      </c>
      <c r="E211" s="99">
        <f t="shared" si="7"/>
        <v>1</v>
      </c>
      <c r="F211" s="99">
        <f t="shared" si="5"/>
        <v>248000000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247</v>
      </c>
      <c r="E212" s="99">
        <f t="shared" si="7"/>
        <v>1</v>
      </c>
      <c r="F212" s="99">
        <f t="shared" si="5"/>
        <v>332100000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246</v>
      </c>
      <c r="E213" s="99">
        <f t="shared" si="7"/>
        <v>0</v>
      </c>
      <c r="F213" s="99">
        <f t="shared" si="5"/>
        <v>-541200000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246</v>
      </c>
      <c r="E214" s="99">
        <f t="shared" si="7"/>
        <v>0</v>
      </c>
      <c r="F214" s="99">
        <f t="shared" si="5"/>
        <v>-123123000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243</v>
      </c>
      <c r="E215" s="99">
        <f t="shared" si="7"/>
        <v>0</v>
      </c>
      <c r="F215" s="99">
        <f t="shared" si="5"/>
        <v>-10935000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243</v>
      </c>
      <c r="E216" s="99">
        <f t="shared" si="7"/>
        <v>1</v>
      </c>
      <c r="F216" s="99">
        <f t="shared" si="5"/>
        <v>242000000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243</v>
      </c>
      <c r="E217" s="99">
        <f t="shared" si="7"/>
        <v>0</v>
      </c>
      <c r="F217" s="99">
        <f t="shared" si="5"/>
        <v>-24300000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242</v>
      </c>
      <c r="E218" s="99">
        <f t="shared" si="7"/>
        <v>0</v>
      </c>
      <c r="F218" s="99">
        <f t="shared" si="5"/>
        <v>-72600000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239</v>
      </c>
      <c r="E219" s="99">
        <f t="shared" si="7"/>
        <v>0</v>
      </c>
      <c r="F219" s="99">
        <f t="shared" si="5"/>
        <v>-12167490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239</v>
      </c>
      <c r="E220" s="99">
        <f t="shared" si="7"/>
        <v>0</v>
      </c>
      <c r="F220" s="99">
        <f t="shared" si="5"/>
        <v>-131569500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237</v>
      </c>
      <c r="E221" s="99">
        <f t="shared" si="7"/>
        <v>1</v>
      </c>
      <c r="F221" s="99">
        <f t="shared" si="5"/>
        <v>377600000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236</v>
      </c>
      <c r="E222" s="99">
        <f t="shared" si="7"/>
        <v>0</v>
      </c>
      <c r="F222" s="99">
        <f t="shared" si="5"/>
        <v>-354165200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231</v>
      </c>
      <c r="E223" s="99">
        <f t="shared" si="7"/>
        <v>1</v>
      </c>
      <c r="F223" s="99">
        <f t="shared" si="5"/>
        <v>1982370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228</v>
      </c>
      <c r="E224" s="99">
        <f t="shared" si="7"/>
        <v>1</v>
      </c>
      <c r="F224" s="99">
        <f t="shared" si="5"/>
        <v>681000000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226</v>
      </c>
      <c r="E225" s="99">
        <f t="shared" si="7"/>
        <v>0</v>
      </c>
      <c r="F225" s="99">
        <f t="shared" si="5"/>
        <v>-678203400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225</v>
      </c>
      <c r="E226" s="99">
        <f t="shared" si="7"/>
        <v>1</v>
      </c>
      <c r="F226" s="99">
        <f t="shared" si="5"/>
        <v>672000000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225</v>
      </c>
      <c r="E227" s="99">
        <f t="shared" si="7"/>
        <v>0</v>
      </c>
      <c r="F227" s="99">
        <f t="shared" si="5"/>
        <v>-39465000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224</v>
      </c>
      <c r="E228" s="99">
        <f t="shared" si="7"/>
        <v>0</v>
      </c>
      <c r="F228" s="99">
        <f t="shared" si="5"/>
        <v>-268912000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224</v>
      </c>
      <c r="E229" s="99">
        <f t="shared" si="7"/>
        <v>0</v>
      </c>
      <c r="F229" s="99">
        <f t="shared" si="5"/>
        <v>-4604320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223</v>
      </c>
      <c r="E230" s="99">
        <f t="shared" si="7"/>
        <v>0</v>
      </c>
      <c r="F230" s="99">
        <f t="shared" si="5"/>
        <v>-226225918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222</v>
      </c>
      <c r="E231" s="99">
        <f t="shared" si="7"/>
        <v>0</v>
      </c>
      <c r="F231" s="99">
        <f t="shared" si="5"/>
        <v>-5377950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221</v>
      </c>
      <c r="E232" s="99">
        <f t="shared" si="7"/>
        <v>1</v>
      </c>
      <c r="F232" s="99">
        <f t="shared" si="5"/>
        <v>242000000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221</v>
      </c>
      <c r="E233" s="99">
        <f t="shared" si="7"/>
        <v>0</v>
      </c>
      <c r="F233" s="99">
        <f t="shared" si="5"/>
        <v>-32685900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217</v>
      </c>
      <c r="E234" s="99">
        <f t="shared" si="7"/>
        <v>0</v>
      </c>
      <c r="F234" s="99">
        <f t="shared" si="5"/>
        <v>-14748405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212</v>
      </c>
      <c r="E235" s="99">
        <f t="shared" si="7"/>
        <v>0</v>
      </c>
      <c r="F235" s="99">
        <f t="shared" si="5"/>
        <v>-24323608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211</v>
      </c>
      <c r="E236" s="99">
        <f t="shared" si="7"/>
        <v>0</v>
      </c>
      <c r="F236" s="99">
        <f t="shared" si="5"/>
        <v>-75960000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211</v>
      </c>
      <c r="E237" s="99">
        <f t="shared" si="7"/>
        <v>0</v>
      </c>
      <c r="F237" s="99">
        <f t="shared" si="5"/>
        <v>-44521000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211</v>
      </c>
      <c r="E238" s="99">
        <f t="shared" si="7"/>
        <v>0</v>
      </c>
      <c r="F238" s="99">
        <f t="shared" si="5"/>
        <v>-40026700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210</v>
      </c>
      <c r="E239" s="99">
        <f t="shared" si="7"/>
        <v>0</v>
      </c>
      <c r="F239" s="99">
        <f t="shared" si="5"/>
        <v>-84105000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210</v>
      </c>
      <c r="E240" s="99">
        <f t="shared" si="7"/>
        <v>1</v>
      </c>
      <c r="F240" s="99">
        <f t="shared" si="5"/>
        <v>83600000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207</v>
      </c>
      <c r="E241" s="99">
        <f t="shared" si="7"/>
        <v>0</v>
      </c>
      <c r="F241" s="99">
        <f t="shared" si="5"/>
        <v>-66421125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200</v>
      </c>
      <c r="E242" s="99">
        <f t="shared" si="7"/>
        <v>1</v>
      </c>
      <c r="F242" s="99">
        <f t="shared" si="5"/>
        <v>1208726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198</v>
      </c>
      <c r="E243" s="99">
        <f t="shared" si="7"/>
        <v>0</v>
      </c>
      <c r="F243" s="99">
        <f t="shared" si="5"/>
        <v>-73359000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183</v>
      </c>
      <c r="E244" s="99">
        <f t="shared" si="7"/>
        <v>1</v>
      </c>
      <c r="F244" s="99">
        <f t="shared" si="5"/>
        <v>546000000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181</v>
      </c>
      <c r="E245" s="99">
        <f t="shared" si="7"/>
        <v>0</v>
      </c>
      <c r="F245" s="99">
        <f t="shared" si="5"/>
        <v>-14480000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180</v>
      </c>
      <c r="E246" s="99">
        <f t="shared" si="7"/>
        <v>0</v>
      </c>
      <c r="F246" s="99">
        <f t="shared" si="5"/>
        <v>-486000000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180</v>
      </c>
      <c r="E247" s="99">
        <f t="shared" si="7"/>
        <v>0</v>
      </c>
      <c r="F247" s="99">
        <f t="shared" si="5"/>
        <v>-5400000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178</v>
      </c>
      <c r="E248" s="99">
        <f t="shared" si="7"/>
        <v>0</v>
      </c>
      <c r="F248" s="99">
        <f t="shared" si="5"/>
        <v>-21360000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177</v>
      </c>
      <c r="E249" s="99">
        <f>IF(B250&gt;0,1,0)</f>
        <v>1</v>
      </c>
      <c r="F249" s="99">
        <f>B250*(D249-E249)</f>
        <v>140800000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176</v>
      </c>
      <c r="E250" s="99">
        <f>IF(B251&gt;0,1,0)</f>
        <v>0</v>
      </c>
      <c r="F250" s="99">
        <f>B251*(D250-E250)</f>
        <v>-3423200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175</v>
      </c>
      <c r="E251" s="99">
        <f>IF(B252&gt;0,1,0)</f>
        <v>0</v>
      </c>
      <c r="F251" s="99">
        <f>B252*(D251-E251)</f>
        <v>-87500000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175</v>
      </c>
      <c r="E252" s="99">
        <f>IF(B253&gt;0,1,0)</f>
        <v>1</v>
      </c>
      <c r="F252" s="99">
        <f>B253*(D252-E252)</f>
        <v>87000000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175</v>
      </c>
      <c r="E253" s="99">
        <f t="shared" ref="E253:E278" si="9">IF(B254&gt;0,1,0)</f>
        <v>0</v>
      </c>
      <c r="F253" s="99">
        <f>B254*(D253-E253)</f>
        <v>-79557275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175</v>
      </c>
      <c r="E254" s="99">
        <f t="shared" si="9"/>
        <v>0</v>
      </c>
      <c r="F254" s="99">
        <f t="shared" ref="F254:F278" si="10">B255*(D254-E254)</f>
        <v>-3430000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174</v>
      </c>
      <c r="E255" s="99">
        <f t="shared" si="9"/>
        <v>0</v>
      </c>
      <c r="F255" s="99">
        <f t="shared" si="10"/>
        <v>-4388280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174</v>
      </c>
      <c r="E256" s="99">
        <f t="shared" si="9"/>
        <v>0</v>
      </c>
      <c r="F256" s="99">
        <f t="shared" si="10"/>
        <v>-26013000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173</v>
      </c>
      <c r="E257" s="99">
        <f t="shared" si="9"/>
        <v>0</v>
      </c>
      <c r="F257" s="99">
        <f t="shared" si="10"/>
        <v>-26815000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173</v>
      </c>
      <c r="E258" s="99">
        <f t="shared" si="9"/>
        <v>0</v>
      </c>
      <c r="F258" s="99">
        <f t="shared" si="10"/>
        <v>-865000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91</v>
      </c>
      <c r="E259" s="99">
        <f t="shared" si="9"/>
        <v>1</v>
      </c>
      <c r="F259" s="99">
        <f t="shared" si="10"/>
        <v>9000000</v>
      </c>
      <c r="G259" s="99" t="s">
        <v>4249</v>
      </c>
    </row>
    <row r="260" spans="1:11">
      <c r="A260" s="99" t="s">
        <v>4599</v>
      </c>
      <c r="B260" s="113">
        <v>100000</v>
      </c>
      <c r="C260" s="99">
        <v>1</v>
      </c>
      <c r="D260" s="99">
        <f t="shared" si="8"/>
        <v>9</v>
      </c>
      <c r="E260" s="99">
        <f t="shared" si="9"/>
        <v>1</v>
      </c>
      <c r="F260" s="99">
        <f t="shared" si="10"/>
        <v>24000000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8</v>
      </c>
      <c r="E261" s="99">
        <f t="shared" si="9"/>
        <v>0</v>
      </c>
      <c r="F261" s="99">
        <f t="shared" si="10"/>
        <v>-532000</v>
      </c>
      <c r="G261" s="99" t="s">
        <v>3892</v>
      </c>
    </row>
    <row r="262" spans="1:11">
      <c r="A262" s="99" t="s">
        <v>4625</v>
      </c>
      <c r="B262" s="113">
        <v>-66500</v>
      </c>
      <c r="C262" s="99">
        <v>2</v>
      </c>
      <c r="D262" s="99">
        <f t="shared" si="8"/>
        <v>5</v>
      </c>
      <c r="E262" s="99">
        <f t="shared" si="9"/>
        <v>0</v>
      </c>
      <c r="F262" s="99">
        <f t="shared" si="10"/>
        <v>-189390</v>
      </c>
      <c r="G262" s="99" t="s">
        <v>3965</v>
      </c>
      <c r="K262" t="s">
        <v>25</v>
      </c>
    </row>
    <row r="263" spans="1:11">
      <c r="A263" s="99" t="s">
        <v>4626</v>
      </c>
      <c r="B263" s="113">
        <v>-37878</v>
      </c>
      <c r="C263" s="99">
        <v>2</v>
      </c>
      <c r="D263" s="99">
        <f t="shared" si="8"/>
        <v>3</v>
      </c>
      <c r="E263" s="99">
        <f t="shared" si="9"/>
        <v>0</v>
      </c>
      <c r="F263" s="99">
        <f t="shared" si="10"/>
        <v>-124500</v>
      </c>
      <c r="G263" s="99" t="s">
        <v>4627</v>
      </c>
      <c r="J263" t="s">
        <v>25</v>
      </c>
      <c r="K263" t="s">
        <v>25</v>
      </c>
    </row>
    <row r="264" spans="1:11">
      <c r="A264" s="99" t="s">
        <v>4617</v>
      </c>
      <c r="B264" s="113">
        <v>-41500</v>
      </c>
      <c r="C264" s="99">
        <v>1</v>
      </c>
      <c r="D264" s="99">
        <f t="shared" si="8"/>
        <v>1</v>
      </c>
      <c r="E264" s="99">
        <f t="shared" si="9"/>
        <v>0</v>
      </c>
      <c r="F264" s="99">
        <f t="shared" si="10"/>
        <v>0</v>
      </c>
      <c r="G264" s="99" t="s">
        <v>1039</v>
      </c>
      <c r="J264" t="s">
        <v>25</v>
      </c>
    </row>
    <row r="265" spans="1:11">
      <c r="A265" s="99"/>
      <c r="B265" s="113"/>
      <c r="C265" s="99"/>
      <c r="D265" s="99">
        <f t="shared" si="8"/>
        <v>0</v>
      </c>
      <c r="E265" s="99">
        <f t="shared" si="9"/>
        <v>0</v>
      </c>
      <c r="F265" s="99">
        <f t="shared" si="10"/>
        <v>0</v>
      </c>
      <c r="G265" s="99"/>
    </row>
    <row r="266" spans="1:11">
      <c r="A266" s="99"/>
      <c r="B266" s="113"/>
      <c r="C266" s="99"/>
      <c r="D266" s="99">
        <f t="shared" si="8"/>
        <v>0</v>
      </c>
      <c r="E266" s="99">
        <f t="shared" si="9"/>
        <v>0</v>
      </c>
      <c r="F266" s="99">
        <f t="shared" si="10"/>
        <v>0</v>
      </c>
      <c r="G266" s="99"/>
    </row>
    <row r="267" spans="1:11">
      <c r="A267" s="99"/>
      <c r="B267" s="113"/>
      <c r="C267" s="99"/>
      <c r="D267" s="99">
        <f t="shared" si="8"/>
        <v>0</v>
      </c>
      <c r="E267" s="99">
        <f t="shared" si="9"/>
        <v>0</v>
      </c>
      <c r="F267" s="99">
        <f t="shared" si="10"/>
        <v>0</v>
      </c>
      <c r="G267" s="99"/>
    </row>
    <row r="268" spans="1:11">
      <c r="A268" s="99"/>
      <c r="B268" s="113"/>
      <c r="C268" s="99"/>
      <c r="D268" s="99">
        <f t="shared" si="8"/>
        <v>0</v>
      </c>
      <c r="E268" s="99">
        <f t="shared" si="9"/>
        <v>0</v>
      </c>
      <c r="F268" s="99">
        <f t="shared" si="10"/>
        <v>0</v>
      </c>
      <c r="G268" s="99"/>
    </row>
    <row r="269" spans="1:11">
      <c r="A269" s="99"/>
      <c r="B269" s="113"/>
      <c r="C269" s="99"/>
      <c r="D269" s="99">
        <f t="shared" si="8"/>
        <v>0</v>
      </c>
      <c r="E269" s="99">
        <f t="shared" si="9"/>
        <v>0</v>
      </c>
      <c r="F269" s="99">
        <f t="shared" si="10"/>
        <v>0</v>
      </c>
      <c r="G269" s="99"/>
    </row>
    <row r="270" spans="1:11">
      <c r="A270" s="99"/>
      <c r="B270" s="113"/>
      <c r="C270" s="99"/>
      <c r="D270" s="99">
        <f t="shared" si="8"/>
        <v>0</v>
      </c>
      <c r="E270" s="99">
        <f t="shared" si="9"/>
        <v>0</v>
      </c>
      <c r="F270" s="99">
        <f t="shared" si="10"/>
        <v>0</v>
      </c>
      <c r="G270" s="99"/>
    </row>
    <row r="271" spans="1:11">
      <c r="A271" s="99"/>
      <c r="B271" s="113"/>
      <c r="C271" s="99"/>
      <c r="D271" s="99">
        <f t="shared" si="8"/>
        <v>0</v>
      </c>
      <c r="E271" s="99">
        <f t="shared" si="9"/>
        <v>0</v>
      </c>
      <c r="F271" s="99">
        <f t="shared" si="10"/>
        <v>0</v>
      </c>
      <c r="G271" s="99"/>
    </row>
    <row r="272" spans="1:11">
      <c r="A272" s="99"/>
      <c r="B272" s="113"/>
      <c r="C272" s="99"/>
      <c r="D272" s="99">
        <f t="shared" si="8"/>
        <v>0</v>
      </c>
      <c r="E272" s="99">
        <f t="shared" si="9"/>
        <v>0</v>
      </c>
      <c r="F272" s="99">
        <f t="shared" si="10"/>
        <v>0</v>
      </c>
      <c r="G272" s="99"/>
    </row>
    <row r="273" spans="1:7">
      <c r="A273" s="99"/>
      <c r="B273" s="113"/>
      <c r="C273" s="99"/>
      <c r="D273" s="99">
        <f t="shared" si="8"/>
        <v>0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2954421</v>
      </c>
      <c r="C280" s="11"/>
      <c r="D280" s="11"/>
      <c r="E280" s="11"/>
      <c r="F280" s="29">
        <f>SUM(F2:F278)</f>
        <v>18862225935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19854974.668421052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4559</v>
      </c>
      <c r="B1" t="s">
        <v>4562</v>
      </c>
      <c r="C1" t="s">
        <v>4563</v>
      </c>
    </row>
    <row r="2" spans="1:3">
      <c r="A2" t="s">
        <v>4560</v>
      </c>
      <c r="B2" t="s">
        <v>4564</v>
      </c>
      <c r="C2" t="s">
        <v>4565</v>
      </c>
    </row>
    <row r="3" spans="1:3">
      <c r="A3" t="s">
        <v>4561</v>
      </c>
      <c r="B3" t="s">
        <v>4563</v>
      </c>
      <c r="C3" t="s">
        <v>4566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4599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7"/>
  <sheetViews>
    <sheetView tabSelected="1" topLeftCell="K56" zoomScaleNormal="100" workbookViewId="0">
      <selection activeCell="O115" sqref="O11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2954421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سارا!D286</f>
        <v>20536041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0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S52</f>
        <v>107</v>
      </c>
      <c r="T20" s="169" t="s">
        <v>4310</v>
      </c>
      <c r="U20" s="169">
        <v>192.1</v>
      </c>
      <c r="V20" s="169">
        <f t="shared" ref="V20:V31" si="4">U20*(1+$N$80+$Q$15*S20/36500)</f>
        <v>210.01950904109589</v>
      </c>
      <c r="W20" s="32">
        <f t="shared" ref="W20:W31" si="5">V20*(1+$W$19/100)</f>
        <v>214.21989922191781</v>
      </c>
      <c r="X20" s="32">
        <f t="shared" ref="X20:X31" si="6">V20*(1+$X$19/100)</f>
        <v>218.42028940273974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278</v>
      </c>
      <c r="AM20" s="113">
        <f>AJ20*AL20</f>
        <v>5004000000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-N29</f>
        <v>82341315.38894023</v>
      </c>
      <c r="M21" s="169" t="s">
        <v>4302</v>
      </c>
      <c r="N21" s="113">
        <f t="shared" ref="N21:N26" si="7">O21*P21</f>
        <v>12936572.1</v>
      </c>
      <c r="O21" s="99">
        <v>72231</v>
      </c>
      <c r="P21" s="188">
        <f>P40</f>
        <v>179.1</v>
      </c>
      <c r="Q21" s="170">
        <v>1450345</v>
      </c>
      <c r="R21" s="169" t="s">
        <v>4306</v>
      </c>
      <c r="S21" s="194">
        <f>S20-36</f>
        <v>71</v>
      </c>
      <c r="T21" s="169" t="s">
        <v>4311</v>
      </c>
      <c r="U21" s="169">
        <v>313.7</v>
      </c>
      <c r="V21" s="169">
        <f t="shared" si="4"/>
        <v>334.2993468493151</v>
      </c>
      <c r="W21" s="32">
        <f t="shared" si="5"/>
        <v>340.9853337863014</v>
      </c>
      <c r="X21" s="32">
        <f t="shared" si="6"/>
        <v>347.67132072328769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277</v>
      </c>
      <c r="AM21" s="113">
        <f t="shared" ref="AM21:AM115" si="9">AJ21*AL21</f>
        <v>692500000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-'دی 97'!D57</f>
        <v>-1161703</v>
      </c>
      <c r="M22" s="169" t="s">
        <v>4314</v>
      </c>
      <c r="N22" s="113">
        <f t="shared" si="7"/>
        <v>8391577.5999999996</v>
      </c>
      <c r="O22" s="99">
        <v>28504</v>
      </c>
      <c r="P22" s="188">
        <f>P41</f>
        <v>294.39999999999998</v>
      </c>
      <c r="Q22" s="170">
        <v>400069</v>
      </c>
      <c r="R22" s="169" t="s">
        <v>4312</v>
      </c>
      <c r="S22" s="194">
        <f>S21-1</f>
        <v>70</v>
      </c>
      <c r="T22" s="169" t="s">
        <v>4313</v>
      </c>
      <c r="U22" s="169">
        <v>314.8</v>
      </c>
      <c r="V22" s="169">
        <f t="shared" si="4"/>
        <v>335.23008876712333</v>
      </c>
      <c r="W22" s="32">
        <f t="shared" si="5"/>
        <v>341.93469054246583</v>
      </c>
      <c r="X22" s="32">
        <f t="shared" si="6"/>
        <v>348.63929231780827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276</v>
      </c>
      <c r="AM22" s="113">
        <f t="shared" si="9"/>
        <v>2208000000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 t="s">
        <v>456</v>
      </c>
      <c r="L23" s="117">
        <v>196000</v>
      </c>
      <c r="M23" s="169" t="s">
        <v>4401</v>
      </c>
      <c r="N23" s="113">
        <f t="shared" si="7"/>
        <v>3965058.9</v>
      </c>
      <c r="O23" s="99">
        <v>781</v>
      </c>
      <c r="P23" s="99">
        <f>P42</f>
        <v>5076.8999999999996</v>
      </c>
      <c r="Q23" s="170">
        <v>7118256</v>
      </c>
      <c r="R23" s="169" t="s">
        <v>4312</v>
      </c>
      <c r="S23" s="194">
        <f>S22</f>
        <v>70</v>
      </c>
      <c r="T23" s="169" t="s">
        <v>4544</v>
      </c>
      <c r="U23" s="169">
        <v>313</v>
      </c>
      <c r="V23" s="169">
        <f t="shared" si="4"/>
        <v>333.31327123287679</v>
      </c>
      <c r="W23" s="32">
        <f t="shared" si="5"/>
        <v>339.97953665753431</v>
      </c>
      <c r="X23" s="32">
        <f t="shared" si="6"/>
        <v>346.64580208219189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275</v>
      </c>
      <c r="AM23" s="113">
        <f t="shared" si="9"/>
        <v>-21876800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>
        <f>L60</f>
        <v>259852936.38894022</v>
      </c>
      <c r="G24" s="95">
        <f t="shared" si="0"/>
        <v>20453408.992998421</v>
      </c>
      <c r="H24" s="11"/>
      <c r="I24" s="96"/>
      <c r="J24" s="96"/>
      <c r="K24" s="169"/>
      <c r="L24" s="117"/>
      <c r="M24" s="169"/>
      <c r="N24" s="113"/>
      <c r="O24" s="69"/>
      <c r="P24" s="99"/>
      <c r="Q24" s="170">
        <v>595156</v>
      </c>
      <c r="R24" s="169" t="s">
        <v>4399</v>
      </c>
      <c r="S24" s="195">
        <f>S23-16</f>
        <v>54</v>
      </c>
      <c r="T24" s="169" t="s">
        <v>4402</v>
      </c>
      <c r="U24" s="169">
        <v>5808.5</v>
      </c>
      <c r="V24" s="169">
        <f t="shared" si="4"/>
        <v>6114.1703232876716</v>
      </c>
      <c r="W24" s="32">
        <f t="shared" si="5"/>
        <v>6236.4537297534253</v>
      </c>
      <c r="X24" s="32">
        <f t="shared" si="6"/>
        <v>6358.7371362191789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274</v>
      </c>
      <c r="AM24" s="113">
        <f t="shared" si="9"/>
        <v>45347000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2" t="s">
        <v>4467</v>
      </c>
      <c r="N25" s="113">
        <v>0</v>
      </c>
      <c r="O25" s="69"/>
      <c r="P25" s="99"/>
      <c r="Q25" s="170">
        <v>1484689</v>
      </c>
      <c r="R25" s="169" t="s">
        <v>4437</v>
      </c>
      <c r="S25" s="169">
        <f>S24-7</f>
        <v>47</v>
      </c>
      <c r="T25" s="19" t="s">
        <v>4440</v>
      </c>
      <c r="U25" s="169">
        <v>5474</v>
      </c>
      <c r="V25" s="169">
        <f t="shared" si="4"/>
        <v>5732.6727452054802</v>
      </c>
      <c r="W25" s="32">
        <f t="shared" si="5"/>
        <v>5847.32620010959</v>
      </c>
      <c r="X25" s="32">
        <f t="shared" si="6"/>
        <v>5961.9796550136998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262</v>
      </c>
      <c r="AM25" s="113">
        <f t="shared" si="9"/>
        <v>-7553545674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2" t="s">
        <v>4446</v>
      </c>
      <c r="N26" s="113">
        <f t="shared" si="7"/>
        <v>2929896.9</v>
      </c>
      <c r="O26" s="69">
        <v>16359</v>
      </c>
      <c r="P26" s="99">
        <f>P40</f>
        <v>179.1</v>
      </c>
      <c r="Q26" s="170">
        <v>2197673</v>
      </c>
      <c r="R26" s="169" t="s">
        <v>4437</v>
      </c>
      <c r="S26" s="169">
        <f>S25</f>
        <v>47</v>
      </c>
      <c r="T26" s="19" t="s">
        <v>4441</v>
      </c>
      <c r="U26" s="169">
        <v>5349</v>
      </c>
      <c r="V26" s="169">
        <f t="shared" si="4"/>
        <v>5601.7658958904121</v>
      </c>
      <c r="W26" s="32">
        <f t="shared" si="5"/>
        <v>5713.8012138082204</v>
      </c>
      <c r="X26" s="32">
        <f t="shared" si="6"/>
        <v>5825.8365317260286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256</v>
      </c>
      <c r="AM26" s="113">
        <f t="shared" si="9"/>
        <v>4736000000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25</v>
      </c>
      <c r="L27" s="117"/>
      <c r="M27" s="169"/>
      <c r="N27" s="113"/>
      <c r="P27" t="s">
        <v>25</v>
      </c>
      <c r="Q27" s="170">
        <v>1353959</v>
      </c>
      <c r="R27" s="169" t="s">
        <v>4437</v>
      </c>
      <c r="S27" s="202">
        <f>S26</f>
        <v>47</v>
      </c>
      <c r="T27" s="19" t="s">
        <v>4483</v>
      </c>
      <c r="U27" s="169">
        <v>192.2</v>
      </c>
      <c r="V27" s="169">
        <f t="shared" si="4"/>
        <v>201.28237150684933</v>
      </c>
      <c r="W27" s="32">
        <f t="shared" si="5"/>
        <v>205.30801893698631</v>
      </c>
      <c r="X27" s="32">
        <f t="shared" si="6"/>
        <v>209.3336663671233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255</v>
      </c>
      <c r="AM27" s="113">
        <f t="shared" si="9"/>
        <v>-4730250000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 t="s">
        <v>756</v>
      </c>
      <c r="N28" s="113">
        <v>3000000</v>
      </c>
      <c r="O28" t="s">
        <v>25</v>
      </c>
      <c r="P28" t="s">
        <v>25</v>
      </c>
      <c r="Q28" s="170">
        <v>1614398</v>
      </c>
      <c r="R28" s="169" t="s">
        <v>4445</v>
      </c>
      <c r="S28" s="169">
        <f>S27-3</f>
        <v>44</v>
      </c>
      <c r="T28" s="19" t="s">
        <v>4522</v>
      </c>
      <c r="U28" s="169">
        <v>184.6</v>
      </c>
      <c r="V28" s="169">
        <f t="shared" si="4"/>
        <v>192.89840219178083</v>
      </c>
      <c r="W28" s="32">
        <f t="shared" si="5"/>
        <v>196.75637023561646</v>
      </c>
      <c r="X28" s="32">
        <f t="shared" si="6"/>
        <v>200.61433827945208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254</v>
      </c>
      <c r="AM28" s="113">
        <f t="shared" si="9"/>
        <v>-16500094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918</v>
      </c>
      <c r="L29" s="117">
        <v>4800000</v>
      </c>
      <c r="M29" s="169" t="s">
        <v>4150</v>
      </c>
      <c r="N29" s="113">
        <f>-S88</f>
        <v>-82341315.38894023</v>
      </c>
      <c r="O29" s="96" t="s">
        <v>25</v>
      </c>
      <c r="P29" s="96" t="s">
        <v>25</v>
      </c>
      <c r="Q29" s="170">
        <v>133576</v>
      </c>
      <c r="R29" s="169" t="s">
        <v>4529</v>
      </c>
      <c r="S29" s="201">
        <f>S28-22</f>
        <v>22</v>
      </c>
      <c r="T29" s="169" t="s">
        <v>4530</v>
      </c>
      <c r="U29" s="169">
        <v>166.2</v>
      </c>
      <c r="V29" s="169">
        <f t="shared" si="4"/>
        <v>170.86634958904111</v>
      </c>
      <c r="W29" s="32">
        <f t="shared" si="5"/>
        <v>174.28367658082192</v>
      </c>
      <c r="X29" s="32">
        <f t="shared" si="6"/>
        <v>177.70100357260276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249</v>
      </c>
      <c r="AM29" s="113">
        <f t="shared" si="9"/>
        <v>1593600000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69" t="s">
        <v>753</v>
      </c>
      <c r="N30" s="113">
        <v>500000</v>
      </c>
      <c r="O30" s="96"/>
      <c r="P30" s="96"/>
      <c r="Q30" s="170">
        <v>220803</v>
      </c>
      <c r="R30" s="169" t="s">
        <v>4232</v>
      </c>
      <c r="S30" s="201">
        <f>S29-1</f>
        <v>21</v>
      </c>
      <c r="T30" s="169" t="s">
        <v>4536</v>
      </c>
      <c r="U30" s="169">
        <v>166</v>
      </c>
      <c r="V30" s="169">
        <f t="shared" si="4"/>
        <v>170.53339178082192</v>
      </c>
      <c r="W30" s="32">
        <f t="shared" si="5"/>
        <v>173.94405961643835</v>
      </c>
      <c r="X30" s="32">
        <f t="shared" si="6"/>
        <v>177.35472745205479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248</v>
      </c>
      <c r="AM30" s="113">
        <f t="shared" si="9"/>
        <v>-42160000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1086</v>
      </c>
      <c r="L31" s="117">
        <f>61*P15</f>
        <v>219600000</v>
      </c>
      <c r="M31" s="169" t="s">
        <v>760</v>
      </c>
      <c r="N31" s="113">
        <v>1200000</v>
      </c>
      <c r="O31" t="s">
        <v>25</v>
      </c>
      <c r="P31" t="s">
        <v>25</v>
      </c>
      <c r="Q31" s="170">
        <v>1023940</v>
      </c>
      <c r="R31" s="169" t="s">
        <v>4537</v>
      </c>
      <c r="S31" s="201">
        <f>S30-2</f>
        <v>19</v>
      </c>
      <c r="T31" s="169" t="s">
        <v>4545</v>
      </c>
      <c r="U31" s="169">
        <v>160.19999999999999</v>
      </c>
      <c r="V31" s="169">
        <f t="shared" si="4"/>
        <v>164.32920986301369</v>
      </c>
      <c r="W31" s="32">
        <f t="shared" si="5"/>
        <v>167.61579406027397</v>
      </c>
      <c r="X31" s="32">
        <f t="shared" si="6"/>
        <v>170.90237825753425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243</v>
      </c>
      <c r="AM31" s="113">
        <f t="shared" si="9"/>
        <v>-1530900000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4574</v>
      </c>
      <c r="L32" s="117">
        <v>-50000000</v>
      </c>
      <c r="M32" s="73"/>
      <c r="N32" s="113"/>
      <c r="O32" s="96"/>
      <c r="P32" s="96"/>
      <c r="Q32" s="170"/>
      <c r="R32" s="169"/>
      <c r="S32" s="169"/>
      <c r="T32" s="169"/>
      <c r="U32" s="169"/>
      <c r="V32" s="169" t="s">
        <v>25</v>
      </c>
      <c r="W32" s="32"/>
      <c r="X32" s="32"/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242</v>
      </c>
      <c r="AM32" s="113">
        <f t="shared" si="9"/>
        <v>-12587630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4325</v>
      </c>
      <c r="L33" s="117">
        <v>-2000000</v>
      </c>
      <c r="M33" s="169" t="s">
        <v>1086</v>
      </c>
      <c r="N33" s="113">
        <f>60*P15</f>
        <v>216000000</v>
      </c>
      <c r="O33" s="96"/>
      <c r="P33" s="96"/>
      <c r="Q33" s="170">
        <f>SUM(N21:N23)-SUM(Q20:Q32)</f>
        <v>-1568642.4000000022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226</v>
      </c>
      <c r="AM33" s="113">
        <f t="shared" si="9"/>
        <v>4523932400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4518</v>
      </c>
      <c r="L34" s="117">
        <v>-1000000</v>
      </c>
      <c r="M34" s="169" t="s">
        <v>4576</v>
      </c>
      <c r="N34" s="113">
        <v>-20000000</v>
      </c>
      <c r="O34" s="96"/>
      <c r="P34" s="114"/>
      <c r="R34" s="115"/>
      <c r="S34" s="115" t="s">
        <v>25</v>
      </c>
      <c r="T34" s="115"/>
      <c r="U34" s="115"/>
      <c r="V34" s="115"/>
      <c r="W34" s="198"/>
      <c r="X34" s="198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226</v>
      </c>
      <c r="AM34" s="113">
        <f t="shared" si="9"/>
        <v>229269316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4577</v>
      </c>
      <c r="N35" s="113">
        <v>-50000000</v>
      </c>
      <c r="O35" s="96"/>
      <c r="P35" s="96"/>
      <c r="Q35" s="96"/>
      <c r="R35" s="115"/>
      <c r="S35" s="115"/>
      <c r="T35" s="115" t="s">
        <v>25</v>
      </c>
      <c r="U35" s="115"/>
      <c r="V35" s="115"/>
      <c r="W35" s="198"/>
      <c r="X35" s="198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214</v>
      </c>
      <c r="AM35" s="113">
        <f t="shared" si="9"/>
        <v>77040000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99" t="s">
        <v>4420</v>
      </c>
      <c r="L36" s="117">
        <v>3000000</v>
      </c>
      <c r="M36" s="169"/>
      <c r="N36" s="113"/>
      <c r="O36" s="96"/>
      <c r="P36" s="96"/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212</v>
      </c>
      <c r="AM36" s="113">
        <f t="shared" si="9"/>
        <v>-74200000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99"/>
      <c r="L37" s="117"/>
      <c r="M37" s="169" t="s">
        <v>4466</v>
      </c>
      <c r="N37" s="113">
        <v>19080757</v>
      </c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4369</v>
      </c>
      <c r="V37" s="73" t="s">
        <v>4371</v>
      </c>
      <c r="W37" s="32">
        <v>2</v>
      </c>
      <c r="X37" s="32">
        <v>4</v>
      </c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212</v>
      </c>
      <c r="AM37" s="113">
        <f t="shared" si="9"/>
        <v>212000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56"/>
      <c r="L38" s="117"/>
      <c r="M38" s="169"/>
      <c r="N38" s="113"/>
      <c r="O38" s="99"/>
      <c r="P38" s="99"/>
      <c r="Q38" s="169">
        <v>0</v>
      </c>
      <c r="R38" s="169" t="s">
        <v>4173</v>
      </c>
      <c r="S38" s="169">
        <f>S52</f>
        <v>107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211</v>
      </c>
      <c r="AM38" s="113">
        <f t="shared" si="9"/>
        <v>7091710000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56"/>
      <c r="L39" s="117"/>
      <c r="M39" s="32" t="s">
        <v>4397</v>
      </c>
      <c r="N39" s="113">
        <f t="shared" ref="N39:N49" si="13">O39*P39</f>
        <v>2122858.4</v>
      </c>
      <c r="O39" s="99">
        <v>611</v>
      </c>
      <c r="P39" s="99">
        <v>3474.4</v>
      </c>
      <c r="Q39" s="170">
        <v>863944</v>
      </c>
      <c r="R39" s="169" t="s">
        <v>4445</v>
      </c>
      <c r="S39" s="169">
        <f>S38-62</f>
        <v>45</v>
      </c>
      <c r="T39" s="193" t="s">
        <v>4523</v>
      </c>
      <c r="U39" s="169">
        <v>184.6</v>
      </c>
      <c r="V39" s="169">
        <f>U39*(1+$N$80+$Q$15*S39/36500)</f>
        <v>193.04001315068496</v>
      </c>
      <c r="W39" s="32">
        <f>V39*(1+$W$19/100)</f>
        <v>196.90081341369867</v>
      </c>
      <c r="X39" s="32">
        <f>V39*(1+$X$19/100)</f>
        <v>200.76161367671236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207</v>
      </c>
      <c r="AM39" s="113">
        <f t="shared" si="9"/>
        <v>-3229200000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 t="s">
        <v>4180</v>
      </c>
      <c r="N40" s="113">
        <f t="shared" si="13"/>
        <v>193069979.09999999</v>
      </c>
      <c r="O40" s="99">
        <v>1078001</v>
      </c>
      <c r="P40" s="99">
        <v>179.1</v>
      </c>
      <c r="Q40" s="170">
        <v>1692313</v>
      </c>
      <c r="R40" s="169" t="s">
        <v>4526</v>
      </c>
      <c r="S40" s="201">
        <f>S39-21</f>
        <v>24</v>
      </c>
      <c r="T40" s="192" t="s">
        <v>4527</v>
      </c>
      <c r="U40" s="169">
        <v>168.5</v>
      </c>
      <c r="V40" s="169">
        <f>U40*(1+$N$80+$Q$15*S40/36500)</f>
        <v>173.48944657534247</v>
      </c>
      <c r="W40" s="32">
        <f t="shared" ref="W40:W43" si="14">V40*(1+$W$19/100)</f>
        <v>176.95923550684932</v>
      </c>
      <c r="X40" s="32">
        <f t="shared" ref="X40:X43" si="15">V40*(1+$X$19/100)</f>
        <v>180.42902443835618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204</v>
      </c>
      <c r="AM40" s="113">
        <f t="shared" si="9"/>
        <v>1530000000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4297</v>
      </c>
      <c r="N41" s="113">
        <f t="shared" si="13"/>
        <v>339443.19999999995</v>
      </c>
      <c r="O41" s="69">
        <v>1153</v>
      </c>
      <c r="P41" s="69">
        <v>294.39999999999998</v>
      </c>
      <c r="Q41" s="170">
        <v>101153</v>
      </c>
      <c r="R41" s="169" t="s">
        <v>4529</v>
      </c>
      <c r="S41" s="201">
        <f>S40-1</f>
        <v>23</v>
      </c>
      <c r="T41" s="192" t="s">
        <v>4531</v>
      </c>
      <c r="U41" s="169">
        <v>166.7</v>
      </c>
      <c r="V41" s="169">
        <f>U41*(1+$N$80+$Q$15*S41/36500)</f>
        <v>171.50826739726028</v>
      </c>
      <c r="W41" s="32">
        <f t="shared" si="14"/>
        <v>174.93843274520549</v>
      </c>
      <c r="X41" s="32">
        <f t="shared" si="15"/>
        <v>178.36859809315069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200</v>
      </c>
      <c r="AM41" s="113">
        <f t="shared" si="9"/>
        <v>-19600000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4401</v>
      </c>
      <c r="N42" s="113">
        <f t="shared" si="13"/>
        <v>2777064.3</v>
      </c>
      <c r="O42" s="69">
        <v>547</v>
      </c>
      <c r="P42" s="69">
        <v>5076.8999999999996</v>
      </c>
      <c r="Q42" s="170">
        <v>183105</v>
      </c>
      <c r="R42" s="169" t="s">
        <v>4232</v>
      </c>
      <c r="S42" s="201">
        <f>S41-1</f>
        <v>22</v>
      </c>
      <c r="T42" s="192" t="s">
        <v>4535</v>
      </c>
      <c r="U42" s="169">
        <v>166.6</v>
      </c>
      <c r="V42" s="169">
        <f>U42*(1+$N$80+$Q$15*S42/36500)</f>
        <v>171.27758027397263</v>
      </c>
      <c r="W42" s="32">
        <f t="shared" si="14"/>
        <v>174.70313187945209</v>
      </c>
      <c r="X42" s="32">
        <f t="shared" si="15"/>
        <v>178.12868348493154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199</v>
      </c>
      <c r="AM42" s="113">
        <f t="shared" si="9"/>
        <v>-5174000000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99"/>
      <c r="L43" s="117"/>
      <c r="M43" s="169" t="s">
        <v>4416</v>
      </c>
      <c r="N43" s="117">
        <f t="shared" si="13"/>
        <v>224033.8</v>
      </c>
      <c r="O43" s="69">
        <v>431</v>
      </c>
      <c r="P43" s="69">
        <v>519.79999999999995</v>
      </c>
      <c r="Q43" s="170"/>
      <c r="R43" s="169"/>
      <c r="S43" s="113"/>
      <c r="T43" s="113"/>
      <c r="U43" s="169"/>
      <c r="V43" s="169">
        <f>U43*(1+$N$80+$Q$15*S43/36500)</f>
        <v>0</v>
      </c>
      <c r="W43" s="32">
        <f t="shared" si="14"/>
        <v>0</v>
      </c>
      <c r="X43" s="32">
        <f t="shared" si="15"/>
        <v>0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199</v>
      </c>
      <c r="AM43" s="113">
        <f t="shared" si="9"/>
        <v>4975000000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73" t="s">
        <v>4586</v>
      </c>
      <c r="N44" s="117">
        <f t="shared" si="13"/>
        <v>98086.299999999988</v>
      </c>
      <c r="O44" s="69">
        <v>197</v>
      </c>
      <c r="P44" s="69">
        <v>497.9</v>
      </c>
      <c r="Q44" s="113">
        <f>SUM(N26:N26)-SUM(Q38:Q43)</f>
        <v>89381.899999999907</v>
      </c>
      <c r="R44" s="169"/>
      <c r="S44" s="169"/>
      <c r="T44" s="169"/>
      <c r="U44" s="169"/>
      <c r="V44" s="169"/>
      <c r="W44" s="32"/>
      <c r="X44" s="32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198</v>
      </c>
      <c r="AM44" s="113">
        <f t="shared" si="9"/>
        <v>21780000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 t="s">
        <v>25</v>
      </c>
      <c r="L45" s="117"/>
      <c r="M45" s="73" t="s">
        <v>4621</v>
      </c>
      <c r="N45" s="117">
        <f t="shared" si="13"/>
        <v>2633400</v>
      </c>
      <c r="O45" s="69">
        <v>22000</v>
      </c>
      <c r="P45" s="69">
        <v>119.7</v>
      </c>
      <c r="R45" s="115"/>
      <c r="S45" s="115"/>
      <c r="T45" s="115" t="s">
        <v>25</v>
      </c>
      <c r="U45" s="115"/>
      <c r="V45" s="115"/>
      <c r="W45" s="198"/>
      <c r="X45" s="198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197</v>
      </c>
      <c r="AM45" s="113">
        <f t="shared" si="9"/>
        <v>74860000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73" t="s">
        <v>4622</v>
      </c>
      <c r="N46" s="117">
        <f t="shared" si="13"/>
        <v>7336000</v>
      </c>
      <c r="O46" s="69">
        <v>40000</v>
      </c>
      <c r="P46" s="69">
        <v>183.4</v>
      </c>
      <c r="Q46" t="s">
        <v>25</v>
      </c>
      <c r="S46" s="26" t="s">
        <v>25</v>
      </c>
      <c r="T46" t="s">
        <v>25</v>
      </c>
      <c r="U46" s="96" t="s">
        <v>25</v>
      </c>
      <c r="V46" s="115" t="s">
        <v>25</v>
      </c>
      <c r="W46" s="198"/>
      <c r="X46" s="198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190</v>
      </c>
      <c r="AM46" s="113">
        <f t="shared" si="9"/>
        <v>85500000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4620</v>
      </c>
      <c r="N47" s="117">
        <f t="shared" si="13"/>
        <v>491617.5</v>
      </c>
      <c r="O47" s="69">
        <v>5555</v>
      </c>
      <c r="P47" s="69">
        <v>88.5</v>
      </c>
      <c r="Q47" t="s">
        <v>25</v>
      </c>
      <c r="T47" t="s">
        <v>25</v>
      </c>
      <c r="W47" s="198"/>
      <c r="X47" s="198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184</v>
      </c>
      <c r="AM47" s="113">
        <f t="shared" si="9"/>
        <v>515200000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4616</v>
      </c>
      <c r="N48" s="117">
        <f t="shared" si="13"/>
        <v>498749.5</v>
      </c>
      <c r="O48" s="69">
        <v>1205</v>
      </c>
      <c r="P48" s="69">
        <v>413.9</v>
      </c>
      <c r="T48" t="s">
        <v>25</v>
      </c>
      <c r="U48" s="96" t="s">
        <v>25</v>
      </c>
      <c r="W48" s="198"/>
      <c r="X48" s="198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183</v>
      </c>
      <c r="AM48" s="113">
        <f t="shared" si="9"/>
        <v>-274500000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1086</v>
      </c>
      <c r="N49" s="117">
        <f t="shared" si="13"/>
        <v>4013030</v>
      </c>
      <c r="O49" s="69">
        <v>10</v>
      </c>
      <c r="P49" s="69">
        <v>401303</v>
      </c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183</v>
      </c>
      <c r="AM49" s="113">
        <f t="shared" si="9"/>
        <v>558150000</v>
      </c>
      <c r="AN49" s="99"/>
    </row>
    <row r="50" spans="1:40" ht="3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/>
      <c r="N50" s="117"/>
      <c r="O50" s="122"/>
      <c r="P50" s="122"/>
      <c r="Q50" s="73" t="s">
        <v>4296</v>
      </c>
      <c r="R50" s="112"/>
      <c r="S50" s="112"/>
      <c r="T50" s="112"/>
      <c r="U50" s="169" t="s">
        <v>4369</v>
      </c>
      <c r="V50" s="36" t="s">
        <v>4371</v>
      </c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180</v>
      </c>
      <c r="AM50" s="113">
        <f t="shared" si="9"/>
        <v>-1493930160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169" t="s">
        <v>1153</v>
      </c>
      <c r="N51" s="117">
        <v>14908</v>
      </c>
      <c r="O51" s="96" t="s">
        <v>25</v>
      </c>
      <c r="P51" t="s">
        <v>25</v>
      </c>
      <c r="Q51" s="112" t="s">
        <v>267</v>
      </c>
      <c r="R51" s="112" t="s">
        <v>180</v>
      </c>
      <c r="S51" s="112" t="s">
        <v>183</v>
      </c>
      <c r="T51" s="112" t="s">
        <v>8</v>
      </c>
      <c r="U51" s="169"/>
      <c r="V51" s="99"/>
      <c r="W51" s="32">
        <v>2</v>
      </c>
      <c r="X51" s="32">
        <v>4</v>
      </c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178</v>
      </c>
      <c r="AM51" s="113">
        <f t="shared" si="9"/>
        <v>890000000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99"/>
      <c r="M52" s="169" t="s">
        <v>1154</v>
      </c>
      <c r="N52" s="117">
        <v>5282</v>
      </c>
      <c r="O52" s="96"/>
      <c r="Q52" s="170">
        <v>184971545</v>
      </c>
      <c r="R52" s="169" t="s">
        <v>4173</v>
      </c>
      <c r="S52" s="194">
        <v>107</v>
      </c>
      <c r="T52" s="169" t="s">
        <v>4352</v>
      </c>
      <c r="U52" s="169">
        <v>192</v>
      </c>
      <c r="V52" s="99">
        <f t="shared" ref="V52:V75" si="16">U52*(1+$N$80+$Q$15*S52/36500)</f>
        <v>209.91018082191783</v>
      </c>
      <c r="W52" s="32">
        <f t="shared" ref="W52:W66" si="17">V52*(1+$W$19/100)</f>
        <v>214.10838443835618</v>
      </c>
      <c r="X52" s="32">
        <f t="shared" ref="X52:X66" si="18">V52*(1+$X$19/100)</f>
        <v>218.30658805479456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164</v>
      </c>
      <c r="AM52" s="113">
        <f t="shared" si="9"/>
        <v>-14760000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/>
      <c r="L53" s="117"/>
      <c r="M53" s="169"/>
      <c r="N53" s="113"/>
      <c r="O53" s="115"/>
      <c r="P53" s="115"/>
      <c r="Q53" s="170">
        <v>9560464</v>
      </c>
      <c r="R53" s="169" t="s">
        <v>4300</v>
      </c>
      <c r="S53" s="194">
        <f>S52-31</f>
        <v>76</v>
      </c>
      <c r="T53" s="169" t="s">
        <v>4316</v>
      </c>
      <c r="U53" s="169">
        <v>214.57</v>
      </c>
      <c r="V53" s="99">
        <f t="shared" si="16"/>
        <v>229.48290893150687</v>
      </c>
      <c r="W53" s="32">
        <f t="shared" si="17"/>
        <v>234.07256711013702</v>
      </c>
      <c r="X53" s="32">
        <f t="shared" si="18"/>
        <v>238.66222528876716</v>
      </c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163</v>
      </c>
      <c r="AM53" s="113">
        <f t="shared" si="9"/>
        <v>912800000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 t="s">
        <v>25</v>
      </c>
      <c r="L54" s="117"/>
      <c r="M54" s="169" t="s">
        <v>4181</v>
      </c>
      <c r="N54" s="113">
        <f>-O54*P54</f>
        <v>-14824644.299999999</v>
      </c>
      <c r="O54" s="99">
        <v>82773</v>
      </c>
      <c r="P54" s="99">
        <f>P40</f>
        <v>179.1</v>
      </c>
      <c r="Q54" s="170">
        <v>2000000</v>
      </c>
      <c r="R54" s="169" t="s">
        <v>4347</v>
      </c>
      <c r="S54" s="169">
        <f>S53-11</f>
        <v>65</v>
      </c>
      <c r="T54" s="169" t="s">
        <v>4351</v>
      </c>
      <c r="U54" s="169">
        <v>206.8</v>
      </c>
      <c r="V54" s="99">
        <f t="shared" si="16"/>
        <v>219.42783123287677</v>
      </c>
      <c r="W54" s="32">
        <f t="shared" si="17"/>
        <v>223.81638785753429</v>
      </c>
      <c r="X54" s="32">
        <f t="shared" si="18"/>
        <v>228.20494448219185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159</v>
      </c>
      <c r="AM54" s="113">
        <f t="shared" si="9"/>
        <v>119250000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Q55" s="170">
        <v>1429825</v>
      </c>
      <c r="R55" s="169" t="s">
        <v>4378</v>
      </c>
      <c r="S55" s="169">
        <f>S54-7</f>
        <v>58</v>
      </c>
      <c r="T55" s="169" t="s">
        <v>4387</v>
      </c>
      <c r="U55" s="169">
        <v>203.9</v>
      </c>
      <c r="V55" s="99">
        <f t="shared" si="16"/>
        <v>215.25583342465757</v>
      </c>
      <c r="W55" s="32">
        <f t="shared" si="17"/>
        <v>219.56095009315072</v>
      </c>
      <c r="X55" s="32">
        <f t="shared" si="18"/>
        <v>223.86606676164388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8"/>
        <v>157</v>
      </c>
      <c r="AM55" s="171">
        <f t="shared" si="9"/>
        <v>-665994000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4378</v>
      </c>
      <c r="S56" s="169">
        <f>S55</f>
        <v>58</v>
      </c>
      <c r="T56" s="169" t="s">
        <v>4389</v>
      </c>
      <c r="U56" s="169">
        <v>203.1</v>
      </c>
      <c r="V56" s="99">
        <f t="shared" si="16"/>
        <v>214.41127890410962</v>
      </c>
      <c r="W56" s="32">
        <f t="shared" si="17"/>
        <v>218.69950448219183</v>
      </c>
      <c r="X56" s="32">
        <f t="shared" si="18"/>
        <v>222.987730060274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155</v>
      </c>
      <c r="AM56" s="113">
        <f t="shared" si="9"/>
        <v>635500000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4453</v>
      </c>
      <c r="N57" s="113">
        <f>-S89</f>
        <v>-11429173.790875267</v>
      </c>
      <c r="Q57" s="170">
        <v>2412371</v>
      </c>
      <c r="R57" s="169" t="s">
        <v>4380</v>
      </c>
      <c r="S57" s="169">
        <f>S56-1</f>
        <v>57</v>
      </c>
      <c r="T57" s="169" t="s">
        <v>4396</v>
      </c>
      <c r="U57" s="169">
        <v>3930</v>
      </c>
      <c r="V57" s="99">
        <f t="shared" si="16"/>
        <v>4145.8592876712328</v>
      </c>
      <c r="W57" s="32">
        <f t="shared" si="17"/>
        <v>4228.7764734246575</v>
      </c>
      <c r="X57" s="32">
        <f t="shared" si="18"/>
        <v>4311.6936591780823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155</v>
      </c>
      <c r="AM57" s="113">
        <f t="shared" si="9"/>
        <v>635500000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P58" t="s">
        <v>25</v>
      </c>
      <c r="Q58" s="170">
        <v>2010885</v>
      </c>
      <c r="R58" s="169" t="s">
        <v>4399</v>
      </c>
      <c r="S58" s="169">
        <f>S57-2</f>
        <v>55</v>
      </c>
      <c r="T58" s="169" t="s">
        <v>4405</v>
      </c>
      <c r="U58" s="169">
        <v>202.1</v>
      </c>
      <c r="V58" s="99">
        <f t="shared" si="16"/>
        <v>212.89047890410961</v>
      </c>
      <c r="W58" s="32">
        <f t="shared" si="17"/>
        <v>217.14828848219182</v>
      </c>
      <c r="X58" s="32">
        <f t="shared" si="18"/>
        <v>221.40609806027402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154</v>
      </c>
      <c r="AM58" s="113">
        <f t="shared" si="9"/>
        <v>121660000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1994038</v>
      </c>
      <c r="R59" s="169" t="s">
        <v>4410</v>
      </c>
      <c r="S59" s="169">
        <f>S58-3</f>
        <v>52</v>
      </c>
      <c r="T59" s="169" t="s">
        <v>4427</v>
      </c>
      <c r="U59" s="169">
        <v>5560.3</v>
      </c>
      <c r="V59" s="99">
        <f t="shared" si="16"/>
        <v>5844.3780120547945</v>
      </c>
      <c r="W59" s="32">
        <f t="shared" si="17"/>
        <v>5961.2655722958907</v>
      </c>
      <c r="X59" s="32">
        <f t="shared" si="18"/>
        <v>6078.153132536986</v>
      </c>
      <c r="Y59" s="96"/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8"/>
        <v>139</v>
      </c>
      <c r="AM59" s="173">
        <f t="shared" si="9"/>
        <v>-537235000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 t="s">
        <v>598</v>
      </c>
      <c r="L60" s="113">
        <f>SUM(L16:L42)</f>
        <v>259852936.38894022</v>
      </c>
      <c r="M60" s="169"/>
      <c r="N60" s="113">
        <f>SUM(N16:N56)</f>
        <v>335147395.9110598</v>
      </c>
      <c r="Q60" s="170">
        <v>191278</v>
      </c>
      <c r="R60" s="169" t="s">
        <v>4410</v>
      </c>
      <c r="S60" s="196">
        <f>S59</f>
        <v>52</v>
      </c>
      <c r="T60" s="169" t="s">
        <v>4631</v>
      </c>
      <c r="U60" s="169">
        <v>441.8</v>
      </c>
      <c r="V60" s="99">
        <f t="shared" si="16"/>
        <v>464.37174356164383</v>
      </c>
      <c r="W60" s="32">
        <f t="shared" si="17"/>
        <v>473.65917843287673</v>
      </c>
      <c r="X60" s="32">
        <f t="shared" si="18"/>
        <v>482.94661330410958</v>
      </c>
      <c r="Y60" s="96"/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133</v>
      </c>
      <c r="AM60" s="113">
        <f t="shared" si="9"/>
        <v>2500400000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599</v>
      </c>
      <c r="L61" s="113">
        <f>L16+L17+L23</f>
        <v>3273324</v>
      </c>
      <c r="M61" s="169"/>
      <c r="N61" s="113">
        <f>N16+N17+N30</f>
        <v>21149346</v>
      </c>
      <c r="Q61" s="170">
        <v>1971103</v>
      </c>
      <c r="R61" s="169" t="s">
        <v>4422</v>
      </c>
      <c r="S61" s="169">
        <f>S60-1</f>
        <v>51</v>
      </c>
      <c r="T61" s="169" t="s">
        <v>4423</v>
      </c>
      <c r="U61" s="169">
        <v>196.2</v>
      </c>
      <c r="V61" s="99">
        <f t="shared" si="16"/>
        <v>206.07342904109589</v>
      </c>
      <c r="W61" s="32">
        <f t="shared" si="17"/>
        <v>210.19489762191782</v>
      </c>
      <c r="X61" s="32">
        <f t="shared" si="18"/>
        <v>214.31636620273974</v>
      </c>
      <c r="Y61" s="96"/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130</v>
      </c>
      <c r="AM61" s="113">
        <f t="shared" si="9"/>
        <v>65000000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56" t="s">
        <v>716</v>
      </c>
      <c r="L62" s="1">
        <f>L60+N7</f>
        <v>329852936.38894022</v>
      </c>
      <c r="M62" s="113"/>
      <c r="N62" s="169"/>
      <c r="O62" s="115"/>
      <c r="P62" s="115"/>
      <c r="Q62" s="170">
        <v>1049856</v>
      </c>
      <c r="R62" s="169" t="s">
        <v>4445</v>
      </c>
      <c r="S62" s="202">
        <f>S61-6</f>
        <v>45</v>
      </c>
      <c r="T62" s="169" t="s">
        <v>4484</v>
      </c>
      <c r="U62" s="169">
        <v>184.5</v>
      </c>
      <c r="V62" s="99">
        <f t="shared" si="16"/>
        <v>192.93544109589044</v>
      </c>
      <c r="W62" s="32">
        <f t="shared" si="17"/>
        <v>196.79414991780826</v>
      </c>
      <c r="X62" s="32">
        <f t="shared" si="18"/>
        <v>200.65285873972607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129</v>
      </c>
      <c r="AM62" s="113">
        <f t="shared" si="9"/>
        <v>25800000</v>
      </c>
      <c r="AN62" s="20"/>
    </row>
    <row r="63" spans="1:40">
      <c r="E63" s="26"/>
      <c r="O63" s="96"/>
      <c r="P63" s="96"/>
      <c r="Q63" s="170">
        <v>1783234</v>
      </c>
      <c r="R63" s="169" t="s">
        <v>4447</v>
      </c>
      <c r="S63" s="169">
        <f>S62-2</f>
        <v>43</v>
      </c>
      <c r="T63" s="169" t="s">
        <v>4448</v>
      </c>
      <c r="U63" s="169">
        <v>177.5</v>
      </c>
      <c r="V63" s="99">
        <f t="shared" si="16"/>
        <v>185.3430684931507</v>
      </c>
      <c r="W63" s="32">
        <f t="shared" si="17"/>
        <v>189.04992986301372</v>
      </c>
      <c r="X63" s="32">
        <f t="shared" si="18"/>
        <v>192.75679123287674</v>
      </c>
      <c r="Y63" s="96"/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126</v>
      </c>
      <c r="AM63" s="113">
        <f t="shared" si="9"/>
        <v>126000000</v>
      </c>
      <c r="AN63" s="20"/>
    </row>
    <row r="64" spans="1:40">
      <c r="E64" s="26"/>
      <c r="M64" s="25"/>
      <c r="O64" t="s">
        <v>25</v>
      </c>
      <c r="Q64" s="170">
        <v>927783</v>
      </c>
      <c r="R64" s="169" t="s">
        <v>4447</v>
      </c>
      <c r="S64" s="201">
        <f>S63</f>
        <v>43</v>
      </c>
      <c r="T64" s="169" t="s">
        <v>4630</v>
      </c>
      <c r="U64" s="169">
        <v>4861</v>
      </c>
      <c r="V64" s="99">
        <f t="shared" si="16"/>
        <v>5075.7896109589046</v>
      </c>
      <c r="W64" s="32">
        <f t="shared" si="17"/>
        <v>5177.305403178083</v>
      </c>
      <c r="X64" s="32">
        <f t="shared" si="18"/>
        <v>5278.8211953972614</v>
      </c>
      <c r="Y64" s="96"/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123</v>
      </c>
      <c r="AM64" s="113">
        <f t="shared" si="9"/>
        <v>159900000</v>
      </c>
      <c r="AN64" s="20"/>
    </row>
    <row r="65" spans="1:40">
      <c r="M65" s="25" t="s">
        <v>4081</v>
      </c>
      <c r="O65" s="99" t="s">
        <v>4593</v>
      </c>
      <c r="P65" s="99">
        <v>19177902</v>
      </c>
      <c r="Q65" s="170">
        <v>1826179</v>
      </c>
      <c r="R65" s="169" t="s">
        <v>4451</v>
      </c>
      <c r="S65" s="201">
        <f>S64-5</f>
        <v>38</v>
      </c>
      <c r="T65" s="73" t="s">
        <v>4492</v>
      </c>
      <c r="U65" s="169">
        <v>190.3</v>
      </c>
      <c r="V65" s="99">
        <f t="shared" si="16"/>
        <v>197.9787353424658</v>
      </c>
      <c r="W65" s="32">
        <f t="shared" si="17"/>
        <v>201.93831004931511</v>
      </c>
      <c r="X65" s="32">
        <f t="shared" si="18"/>
        <v>205.89788475616444</v>
      </c>
      <c r="Y65" s="96"/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9">AL66+AK65</f>
        <v>123</v>
      </c>
      <c r="AM65" s="113">
        <f t="shared" si="9"/>
        <v>122385000</v>
      </c>
      <c r="AN65" s="20"/>
    </row>
    <row r="66" spans="1:40">
      <c r="M66" s="178"/>
      <c r="O66" s="99" t="s">
        <v>4613</v>
      </c>
      <c r="P66" s="99">
        <v>19635512</v>
      </c>
      <c r="Q66" s="170">
        <v>600888</v>
      </c>
      <c r="R66" s="169" t="s">
        <v>4451</v>
      </c>
      <c r="S66" s="201">
        <f>S65</f>
        <v>38</v>
      </c>
      <c r="T66" s="73" t="s">
        <v>4633</v>
      </c>
      <c r="U66" s="169">
        <v>190.3</v>
      </c>
      <c r="V66" s="99">
        <f t="shared" si="16"/>
        <v>197.9787353424658</v>
      </c>
      <c r="W66" s="32">
        <f t="shared" si="17"/>
        <v>201.93831004931511</v>
      </c>
      <c r="X66" s="32">
        <f t="shared" si="18"/>
        <v>205.89788475616444</v>
      </c>
      <c r="Y66" s="96"/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9"/>
        <v>121</v>
      </c>
      <c r="AM66" s="113">
        <f t="shared" si="9"/>
        <v>1573000000</v>
      </c>
      <c r="AN66" s="20"/>
    </row>
    <row r="67" spans="1:40">
      <c r="A67" t="s">
        <v>25</v>
      </c>
      <c r="F67" t="s">
        <v>310</v>
      </c>
      <c r="G67" t="s">
        <v>4100</v>
      </c>
      <c r="M67" s="96"/>
      <c r="O67" t="s">
        <v>25</v>
      </c>
      <c r="P67" t="s">
        <v>25</v>
      </c>
      <c r="Q67" s="170">
        <v>159753</v>
      </c>
      <c r="R67" s="169" t="s">
        <v>4583</v>
      </c>
      <c r="S67" s="169">
        <f>S66-25</f>
        <v>13</v>
      </c>
      <c r="T67" s="73" t="s">
        <v>4602</v>
      </c>
      <c r="U67" s="169">
        <v>286</v>
      </c>
      <c r="V67" s="99">
        <f t="shared" si="16"/>
        <v>292.05536438356165</v>
      </c>
      <c r="W67" s="32">
        <f t="shared" ref="W67:W69" si="20">V67*(1+$W$19/100)</f>
        <v>297.89647167123292</v>
      </c>
      <c r="X67" s="32">
        <f t="shared" ref="X67:X69" si="21">V67*(1+$X$19/100)</f>
        <v>303.73757895890412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9"/>
        <v>119</v>
      </c>
      <c r="AM67" s="113">
        <f t="shared" si="9"/>
        <v>-368900000</v>
      </c>
      <c r="AN67" s="20"/>
    </row>
    <row r="68" spans="1:40">
      <c r="F68" t="s">
        <v>4104</v>
      </c>
      <c r="G68" t="s">
        <v>4099</v>
      </c>
      <c r="M68" s="122" t="s">
        <v>4417</v>
      </c>
      <c r="O68" s="114"/>
      <c r="Q68" s="170">
        <v>172133</v>
      </c>
      <c r="R68" s="169" t="s">
        <v>4585</v>
      </c>
      <c r="S68" s="169">
        <f>S67-3</f>
        <v>10</v>
      </c>
      <c r="T68" s="73" t="s">
        <v>4603</v>
      </c>
      <c r="U68" s="169">
        <v>287</v>
      </c>
      <c r="V68" s="99">
        <f t="shared" si="16"/>
        <v>292.41604383561645</v>
      </c>
      <c r="W68" s="32">
        <f t="shared" si="20"/>
        <v>298.26436471232876</v>
      </c>
      <c r="X68" s="32">
        <f t="shared" si="21"/>
        <v>304.11268558904112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9"/>
        <v>116</v>
      </c>
      <c r="AM68" s="113">
        <f t="shared" si="9"/>
        <v>5294240000</v>
      </c>
      <c r="AN68" s="20"/>
    </row>
    <row r="69" spans="1:40">
      <c r="F69" t="s">
        <v>4105</v>
      </c>
      <c r="G69" t="s">
        <v>4101</v>
      </c>
      <c r="M69" s="122" t="s">
        <v>4520</v>
      </c>
      <c r="N69" s="96"/>
      <c r="Q69" s="170">
        <v>100530</v>
      </c>
      <c r="R69" s="169" t="s">
        <v>4585</v>
      </c>
      <c r="S69" s="169">
        <f>S68</f>
        <v>10</v>
      </c>
      <c r="T69" s="73" t="s">
        <v>4604</v>
      </c>
      <c r="U69" s="169">
        <v>508</v>
      </c>
      <c r="V69" s="99">
        <f t="shared" si="16"/>
        <v>517.58658630136995</v>
      </c>
      <c r="W69" s="32">
        <f t="shared" si="20"/>
        <v>527.93831802739737</v>
      </c>
      <c r="X69" s="32">
        <f t="shared" si="21"/>
        <v>538.2900497534248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9"/>
        <v>115</v>
      </c>
      <c r="AM69" s="113">
        <f t="shared" si="9"/>
        <v>3852500000</v>
      </c>
      <c r="AN69" s="20"/>
    </row>
    <row r="70" spans="1:40">
      <c r="G70" t="s">
        <v>4102</v>
      </c>
      <c r="M70" s="122" t="s">
        <v>4608</v>
      </c>
      <c r="N70" s="96"/>
      <c r="P70" t="s">
        <v>25</v>
      </c>
      <c r="Q70" s="170">
        <v>7311041</v>
      </c>
      <c r="R70" s="169" t="s">
        <v>4617</v>
      </c>
      <c r="S70" s="169">
        <f>S69-9</f>
        <v>1</v>
      </c>
      <c r="T70" s="73" t="s">
        <v>4623</v>
      </c>
      <c r="U70" s="169">
        <v>182.1</v>
      </c>
      <c r="V70" s="99">
        <f t="shared" si="16"/>
        <v>184.27921315068494</v>
      </c>
      <c r="W70" s="32">
        <f t="shared" ref="W70:W76" si="22">V70*(1+$W$19/100)</f>
        <v>187.96479741369865</v>
      </c>
      <c r="X70" s="32">
        <f t="shared" ref="X70:X76" si="23">V70*(1+$X$19/100)</f>
        <v>191.65038167671236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9"/>
        <v>114</v>
      </c>
      <c r="AM70" s="117">
        <f t="shared" si="9"/>
        <v>1368000000</v>
      </c>
      <c r="AN70" s="20"/>
    </row>
    <row r="71" spans="1:40">
      <c r="G71" t="s">
        <v>4103</v>
      </c>
      <c r="M71" s="211" t="s">
        <v>4601</v>
      </c>
      <c r="N71" s="96"/>
      <c r="P71" s="115"/>
      <c r="Q71" s="170">
        <v>499973</v>
      </c>
      <c r="R71" s="169" t="s">
        <v>4617</v>
      </c>
      <c r="S71" s="169">
        <f>S70</f>
        <v>1</v>
      </c>
      <c r="T71" s="73" t="s">
        <v>4618</v>
      </c>
      <c r="U71" s="169">
        <v>413</v>
      </c>
      <c r="V71" s="99">
        <f t="shared" si="16"/>
        <v>417.94242191780825</v>
      </c>
      <c r="W71" s="32">
        <f t="shared" si="22"/>
        <v>426.30127035616442</v>
      </c>
      <c r="X71" s="32">
        <f t="shared" si="23"/>
        <v>434.6601187945206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9"/>
        <v>113</v>
      </c>
      <c r="AM71" s="117">
        <f t="shared" si="9"/>
        <v>1751500000</v>
      </c>
      <c r="AN71" s="20"/>
    </row>
    <row r="72" spans="1:40">
      <c r="G72" t="s">
        <v>4107</v>
      </c>
      <c r="M72" s="122" t="s">
        <v>4519</v>
      </c>
      <c r="N72" s="96"/>
      <c r="P72" s="115" t="s">
        <v>25</v>
      </c>
      <c r="Q72" s="170">
        <v>500037</v>
      </c>
      <c r="R72" s="169" t="s">
        <v>4617</v>
      </c>
      <c r="S72" s="169">
        <f>S71</f>
        <v>1</v>
      </c>
      <c r="T72" s="73" t="s">
        <v>4619</v>
      </c>
      <c r="U72" s="169">
        <v>89.6</v>
      </c>
      <c r="V72" s="99">
        <f t="shared" si="16"/>
        <v>90.672254246575335</v>
      </c>
      <c r="W72" s="32">
        <f t="shared" si="22"/>
        <v>92.485699331506837</v>
      </c>
      <c r="X72" s="32">
        <f t="shared" si="23"/>
        <v>94.299144416438352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9"/>
        <v>109</v>
      </c>
      <c r="AM72" s="117">
        <f t="shared" si="9"/>
        <v>16350000</v>
      </c>
      <c r="AN72" s="20"/>
    </row>
    <row r="73" spans="1:40">
      <c r="G73" t="s">
        <v>4106</v>
      </c>
      <c r="M73" s="122" t="s">
        <v>4610</v>
      </c>
      <c r="O73" t="s">
        <v>25</v>
      </c>
      <c r="P73" s="115"/>
      <c r="Q73" s="170">
        <v>1683976</v>
      </c>
      <c r="R73" s="169" t="s">
        <v>4617</v>
      </c>
      <c r="S73" s="169">
        <f>S72</f>
        <v>1</v>
      </c>
      <c r="T73" s="73" t="s">
        <v>4635</v>
      </c>
      <c r="U73" s="169">
        <v>119.5</v>
      </c>
      <c r="V73" s="99">
        <f t="shared" si="16"/>
        <v>120.93007123287671</v>
      </c>
      <c r="W73" s="32">
        <f t="shared" si="22"/>
        <v>123.34867265753425</v>
      </c>
      <c r="X73" s="32">
        <f t="shared" si="23"/>
        <v>125.76727408219179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9"/>
        <v>108</v>
      </c>
      <c r="AM73" s="182">
        <f t="shared" si="9"/>
        <v>3132000000</v>
      </c>
      <c r="AN73" s="181" t="s">
        <v>4187</v>
      </c>
    </row>
    <row r="74" spans="1:40">
      <c r="M74" s="96">
        <f>O40+O21+O26-O54</f>
        <v>1083818</v>
      </c>
      <c r="N74" s="113">
        <f>M74*P40</f>
        <v>194111803.79999998</v>
      </c>
      <c r="P74" s="115"/>
      <c r="Q74" s="170">
        <v>959229</v>
      </c>
      <c r="R74" s="169" t="s">
        <v>4628</v>
      </c>
      <c r="S74" s="169">
        <f>S73-1</f>
        <v>0</v>
      </c>
      <c r="T74" s="73" t="s">
        <v>4632</v>
      </c>
      <c r="U74" s="169">
        <v>119.4</v>
      </c>
      <c r="V74" s="99">
        <f t="shared" si="16"/>
        <v>120.73728000000001</v>
      </c>
      <c r="W74" s="32">
        <f t="shared" si="22"/>
        <v>123.15202560000002</v>
      </c>
      <c r="X74" s="32">
        <f t="shared" si="23"/>
        <v>125.56677120000002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9"/>
        <v>93</v>
      </c>
      <c r="AM74" s="117">
        <f t="shared" si="9"/>
        <v>-12090000</v>
      </c>
      <c r="AN74" s="20" t="s">
        <v>4213</v>
      </c>
    </row>
    <row r="75" spans="1:40">
      <c r="M75" t="s">
        <v>4268</v>
      </c>
      <c r="P75" s="115"/>
      <c r="Q75" s="170">
        <v>4028028</v>
      </c>
      <c r="R75" s="169" t="s">
        <v>4628</v>
      </c>
      <c r="S75" s="169">
        <f>S74</f>
        <v>0</v>
      </c>
      <c r="T75" s="73" t="s">
        <v>4636</v>
      </c>
      <c r="U75" s="169">
        <v>402300</v>
      </c>
      <c r="V75" s="99">
        <f t="shared" si="16"/>
        <v>406805.76000000007</v>
      </c>
      <c r="W75" s="32">
        <f t="shared" si="22"/>
        <v>414941.87520000007</v>
      </c>
      <c r="X75" s="32">
        <f t="shared" si="23"/>
        <v>423077.99040000007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9"/>
        <v>86</v>
      </c>
      <c r="AM75" s="117">
        <f>AJ75*AL75</f>
        <v>19952000</v>
      </c>
      <c r="AN75" s="20" t="s">
        <v>4261</v>
      </c>
    </row>
    <row r="76" spans="1:40">
      <c r="D76" s="3"/>
      <c r="E76" s="11" t="s">
        <v>304</v>
      </c>
      <c r="M76" t="s">
        <v>4615</v>
      </c>
      <c r="N76" t="s">
        <v>25</v>
      </c>
      <c r="P76" s="115"/>
      <c r="Q76" s="170"/>
      <c r="R76" s="169"/>
      <c r="S76" s="169"/>
      <c r="T76" s="169"/>
      <c r="U76" s="169"/>
      <c r="V76" s="99">
        <f>U76*(1+$N$80+$Q$15*S76/36500)</f>
        <v>0</v>
      </c>
      <c r="W76" s="32">
        <f t="shared" si="22"/>
        <v>0</v>
      </c>
      <c r="X76" s="32">
        <f t="shared" si="23"/>
        <v>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9"/>
        <v>84</v>
      </c>
      <c r="AM76" s="117">
        <f t="shared" si="9"/>
        <v>-14280000</v>
      </c>
      <c r="AN76" s="20"/>
    </row>
    <row r="77" spans="1:40">
      <c r="D77" s="1" t="s">
        <v>305</v>
      </c>
      <c r="E77" s="1">
        <v>70000</v>
      </c>
      <c r="P77" s="115"/>
      <c r="Q77" s="113">
        <f>SUM(N39:N49)-SUM(Q52:Q76)</f>
        <v>-15960633.899999976</v>
      </c>
      <c r="R77" s="112"/>
      <c r="S77" s="112"/>
      <c r="T77" s="112"/>
      <c r="U77" s="169"/>
      <c r="V77" s="99" t="s">
        <v>25</v>
      </c>
      <c r="W77" s="32"/>
      <c r="X77" s="32"/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9"/>
        <v>81</v>
      </c>
      <c r="AM77" s="117">
        <f t="shared" si="9"/>
        <v>-24300000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26"/>
      <c r="R78" s="183"/>
      <c r="S78" s="183"/>
      <c r="T78" t="s">
        <v>25</v>
      </c>
      <c r="U78" s="96" t="s">
        <v>25</v>
      </c>
      <c r="V78" s="96" t="s">
        <v>25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78</v>
      </c>
      <c r="AM78" s="117">
        <f t="shared" si="9"/>
        <v>-889200000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R79" s="32" t="s">
        <v>4598</v>
      </c>
      <c r="S79" s="32" t="s">
        <v>950</v>
      </c>
      <c r="T79" t="s">
        <v>25</v>
      </c>
      <c r="U79" s="96" t="s">
        <v>25</v>
      </c>
      <c r="V79" s="96" t="s">
        <v>25</v>
      </c>
      <c r="W79" s="96" t="s">
        <v>25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65</v>
      </c>
      <c r="AM79" s="117">
        <f>AJ79*AL79</f>
        <v>-650000000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</v>
      </c>
      <c r="N80">
        <f>N78+N79</f>
        <v>1.12E-2</v>
      </c>
      <c r="O80" t="s">
        <v>25</v>
      </c>
      <c r="P80" t="s">
        <v>25</v>
      </c>
      <c r="R80" s="32">
        <v>5492</v>
      </c>
      <c r="S80" s="170">
        <v>1049976</v>
      </c>
      <c r="U80" s="96" t="s">
        <v>25</v>
      </c>
      <c r="V80" s="122" t="s">
        <v>25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64</v>
      </c>
      <c r="AM80" s="117">
        <f>AJ80*AL80</f>
        <v>-156800000</v>
      </c>
      <c r="AN80" s="20"/>
    </row>
    <row r="81" spans="4:52">
      <c r="D81" s="31" t="s">
        <v>308</v>
      </c>
      <c r="E81" s="1">
        <v>300000</v>
      </c>
      <c r="Q81" t="s">
        <v>25</v>
      </c>
      <c r="R81" s="32">
        <v>2349</v>
      </c>
      <c r="S81" s="1">
        <f>S80*R81/R80</f>
        <v>449088.42388929351</v>
      </c>
      <c r="U81" s="96" t="s">
        <v>25</v>
      </c>
      <c r="W81" s="96" t="s">
        <v>25</v>
      </c>
      <c r="X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9"/>
        <v>59</v>
      </c>
      <c r="AM81" s="117">
        <f t="shared" si="9"/>
        <v>-26908779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R82" s="32">
        <f>R80-R81</f>
        <v>3143</v>
      </c>
      <c r="S82" s="1">
        <f>R82*S80/R80</f>
        <v>600887.57611070643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58</v>
      </c>
      <c r="AM82" s="117">
        <f t="shared" si="9"/>
        <v>-29000000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V83" s="96"/>
      <c r="W83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9"/>
        <v>56</v>
      </c>
      <c r="AM83" s="117">
        <f t="shared" si="9"/>
        <v>-349124720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197" t="s">
        <v>4551</v>
      </c>
      <c r="Q84" s="99" t="s">
        <v>4470</v>
      </c>
      <c r="R84" s="99" t="s">
        <v>4472</v>
      </c>
      <c r="S84" s="99"/>
      <c r="T84" s="99" t="s">
        <v>4473</v>
      </c>
      <c r="U84" s="99"/>
      <c r="V84" s="99"/>
      <c r="W84" s="99" t="s">
        <v>4607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9"/>
        <v>53</v>
      </c>
      <c r="AM84" s="117">
        <f t="shared" si="9"/>
        <v>103400721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4552</v>
      </c>
      <c r="Q85" s="113">
        <v>1000</v>
      </c>
      <c r="R85" s="99">
        <v>0.25</v>
      </c>
      <c r="S85" s="99"/>
      <c r="T85" s="99">
        <f>1-R85</f>
        <v>0.75</v>
      </c>
      <c r="U85" s="99"/>
      <c r="V85" s="99"/>
      <c r="W85" s="99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9"/>
        <v>49</v>
      </c>
      <c r="AM85" s="117">
        <f t="shared" si="9"/>
        <v>29400000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4553</v>
      </c>
      <c r="Q86" s="169" t="s">
        <v>4457</v>
      </c>
      <c r="R86" s="169" t="s">
        <v>4475</v>
      </c>
      <c r="S86" s="169" t="s">
        <v>4477</v>
      </c>
      <c r="T86" s="169" t="s">
        <v>180</v>
      </c>
      <c r="U86" s="169" t="s">
        <v>4471</v>
      </c>
      <c r="V86" s="56" t="s">
        <v>4474</v>
      </c>
      <c r="W86" s="99"/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9"/>
        <v>44</v>
      </c>
      <c r="AM86" s="117">
        <f t="shared" si="9"/>
        <v>330000000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4397</v>
      </c>
      <c r="Q87" s="169" t="s">
        <v>751</v>
      </c>
      <c r="R87" s="56">
        <v>759341</v>
      </c>
      <c r="S87" s="113">
        <f>R87*$T$116</f>
        <v>191193167.42018452</v>
      </c>
      <c r="T87" s="169" t="s">
        <v>4469</v>
      </c>
      <c r="U87" s="169">
        <f>$Q$85*$T$85*S87/$R$110</f>
        <v>503.20408320145896</v>
      </c>
      <c r="V87" s="95">
        <f>S87+U87</f>
        <v>191193670.62426773</v>
      </c>
      <c r="W87" s="99">
        <f>R87*100/U113</f>
        <v>67.09387776019453</v>
      </c>
      <c r="X87" s="163"/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9"/>
        <v>42</v>
      </c>
      <c r="AM87" s="117">
        <f t="shared" si="9"/>
        <v>-24688272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4416</v>
      </c>
      <c r="Q88" s="169" t="s">
        <v>4459</v>
      </c>
      <c r="R88" s="56">
        <v>327026</v>
      </c>
      <c r="S88" s="113">
        <f>R88*$T$116</f>
        <v>82341315.38894023</v>
      </c>
      <c r="T88" s="169" t="s">
        <v>4469</v>
      </c>
      <c r="U88" s="169">
        <f>$Q$85*$T$85*S88/$R$110+Q85*R85</f>
        <v>466.71530776428551</v>
      </c>
      <c r="V88" s="95">
        <f>S88+U88</f>
        <v>82341782.104247987</v>
      </c>
      <c r="W88" s="99">
        <f>R88*100/U113</f>
        <v>28.8953743685714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39</v>
      </c>
      <c r="AM88" s="117">
        <f t="shared" si="9"/>
        <v>-35392071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4554</v>
      </c>
      <c r="Q89" s="169" t="s">
        <v>4458</v>
      </c>
      <c r="R89" s="56">
        <v>45392</v>
      </c>
      <c r="S89" s="113">
        <f>R89*$T$116</f>
        <v>11429173.790875267</v>
      </c>
      <c r="T89" s="169" t="s">
        <v>4469</v>
      </c>
      <c r="U89" s="169">
        <f>$Q$85*$T$85*S89/$R$110</f>
        <v>30.080609034255527</v>
      </c>
      <c r="V89" s="95">
        <f>S89+U89</f>
        <v>11429203.871484302</v>
      </c>
      <c r="W89" s="99">
        <f>R89*100/U113</f>
        <v>4.0107478712340701</v>
      </c>
      <c r="X89" s="115"/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9"/>
        <v>39</v>
      </c>
      <c r="AM89" s="117">
        <f t="shared" si="9"/>
        <v>95550000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4401</v>
      </c>
      <c r="Q90" s="169"/>
      <c r="R90" s="56"/>
      <c r="S90" s="169"/>
      <c r="T90" s="169"/>
      <c r="U90" s="169"/>
      <c r="V90" s="99"/>
      <c r="W90" s="99"/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4493</v>
      </c>
      <c r="AJ90" s="117">
        <v>1500000</v>
      </c>
      <c r="AK90" s="20">
        <v>1</v>
      </c>
      <c r="AL90" s="99">
        <f t="shared" si="19"/>
        <v>38</v>
      </c>
      <c r="AM90" s="117">
        <f t="shared" si="9"/>
        <v>57000000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4555</v>
      </c>
      <c r="Q91" s="169"/>
      <c r="R91" s="56"/>
      <c r="S91" s="169"/>
      <c r="T91" s="169"/>
      <c r="U91" s="169"/>
      <c r="V91" s="169"/>
      <c r="W91" s="99"/>
      <c r="X91" s="96"/>
      <c r="Y91" s="115"/>
      <c r="Z91" s="115"/>
      <c r="AA91" s="115"/>
      <c r="AE91"/>
      <c r="AG91" s="96"/>
      <c r="AH91" s="20">
        <v>71</v>
      </c>
      <c r="AI91" s="117" t="s">
        <v>4499</v>
      </c>
      <c r="AJ91" s="117">
        <v>2648000</v>
      </c>
      <c r="AK91" s="20">
        <v>1</v>
      </c>
      <c r="AL91" s="99">
        <f t="shared" si="19"/>
        <v>37</v>
      </c>
      <c r="AM91" s="117">
        <f t="shared" si="9"/>
        <v>97976000</v>
      </c>
      <c r="AN91" s="20" t="s">
        <v>4500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4556</v>
      </c>
      <c r="P92" s="115"/>
      <c r="Q92" s="169"/>
      <c r="R92" s="169"/>
      <c r="S92" s="169"/>
      <c r="T92" s="169"/>
      <c r="U92" s="169"/>
      <c r="V92" s="169"/>
      <c r="W92" s="99"/>
      <c r="X92" s="96"/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9"/>
        <v>36</v>
      </c>
      <c r="AM92" s="117">
        <f t="shared" si="9"/>
        <v>22140000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P93" s="128"/>
      <c r="Q93" s="99"/>
      <c r="R93" s="99"/>
      <c r="S93" s="99"/>
      <c r="T93" s="99" t="s">
        <v>25</v>
      </c>
      <c r="U93" s="99"/>
      <c r="V93" s="99"/>
      <c r="W93" s="99"/>
      <c r="X93" s="96"/>
      <c r="Y93" s="115"/>
      <c r="Z93" s="115"/>
      <c r="AA93" s="115"/>
      <c r="AE93"/>
      <c r="AG93" s="96"/>
      <c r="AH93" s="20">
        <v>73</v>
      </c>
      <c r="AI93" s="117" t="s">
        <v>4511</v>
      </c>
      <c r="AJ93" s="117">
        <v>14000000</v>
      </c>
      <c r="AK93" s="20">
        <v>2</v>
      </c>
      <c r="AL93" s="99">
        <f>AL94+AK93</f>
        <v>32</v>
      </c>
      <c r="AM93" s="117">
        <f t="shared" si="9"/>
        <v>448000000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P94" s="128"/>
      <c r="Q94" s="99"/>
      <c r="R94" s="99"/>
      <c r="S94" s="99"/>
      <c r="T94" s="99"/>
      <c r="U94" s="99"/>
      <c r="V94" s="99"/>
      <c r="W94" s="99"/>
      <c r="X94" s="96"/>
      <c r="AH94" s="20">
        <v>74</v>
      </c>
      <c r="AI94" s="117" t="s">
        <v>4517</v>
      </c>
      <c r="AJ94" s="117">
        <v>1313000</v>
      </c>
      <c r="AK94" s="20">
        <v>0</v>
      </c>
      <c r="AL94" s="99">
        <f>AL95+AK94</f>
        <v>30</v>
      </c>
      <c r="AM94" s="117">
        <f t="shared" si="9"/>
        <v>39390000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P95" s="115"/>
      <c r="Q95" s="99"/>
      <c r="R95" s="99"/>
      <c r="S95" s="99"/>
      <c r="T95" s="99"/>
      <c r="U95" s="99"/>
      <c r="V95" s="99"/>
      <c r="W95" s="99"/>
      <c r="X95" s="96"/>
      <c r="AH95" s="99">
        <v>75</v>
      </c>
      <c r="AI95" s="113" t="s">
        <v>4517</v>
      </c>
      <c r="AJ95" s="113">
        <v>2269000</v>
      </c>
      <c r="AK95" s="99">
        <v>1</v>
      </c>
      <c r="AL95" s="99">
        <f t="shared" ref="AL95:AL115" si="24">AL96+AK95</f>
        <v>30</v>
      </c>
      <c r="AM95" s="117">
        <f t="shared" si="9"/>
        <v>68070000</v>
      </c>
      <c r="AN95" s="99"/>
    </row>
    <row r="96" spans="4:52">
      <c r="D96" s="32" t="s">
        <v>314</v>
      </c>
      <c r="E96" s="1">
        <v>140000</v>
      </c>
      <c r="Q96" s="96"/>
      <c r="R96" s="96"/>
      <c r="S96" s="96"/>
      <c r="T96" s="96"/>
      <c r="V96" s="96"/>
      <c r="X96" s="115"/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4"/>
        <v>29</v>
      </c>
      <c r="AM96" s="117">
        <f t="shared" si="9"/>
        <v>21750000</v>
      </c>
      <c r="AN96" s="99"/>
    </row>
    <row r="97" spans="4:47">
      <c r="D97" s="2" t="s">
        <v>478</v>
      </c>
      <c r="E97" s="3">
        <v>1083333</v>
      </c>
      <c r="Q97" s="96"/>
      <c r="R97" s="96"/>
      <c r="S97" s="96"/>
      <c r="T97" s="96"/>
      <c r="V97" s="96"/>
      <c r="Y97" t="s">
        <v>25</v>
      </c>
      <c r="AH97" s="99">
        <v>77</v>
      </c>
      <c r="AI97" s="113" t="s">
        <v>4526</v>
      </c>
      <c r="AJ97" s="113">
        <v>1900000</v>
      </c>
      <c r="AK97" s="99">
        <v>3</v>
      </c>
      <c r="AL97" s="99">
        <f t="shared" si="24"/>
        <v>25</v>
      </c>
      <c r="AM97" s="117">
        <f t="shared" si="9"/>
        <v>47500000</v>
      </c>
      <c r="AN97" s="99"/>
    </row>
    <row r="98" spans="4:47">
      <c r="D98" s="2"/>
      <c r="E98" s="3"/>
      <c r="H98" s="96"/>
      <c r="Q98" s="96"/>
      <c r="R98" s="96"/>
      <c r="S98" s="96"/>
      <c r="T98" s="96" t="s">
        <v>25</v>
      </c>
      <c r="V98" s="96"/>
      <c r="AH98" s="99">
        <v>78</v>
      </c>
      <c r="AI98" s="113" t="s">
        <v>4540</v>
      </c>
      <c r="AJ98" s="113">
        <v>6400000</v>
      </c>
      <c r="AK98" s="99">
        <v>1</v>
      </c>
      <c r="AL98" s="99">
        <f t="shared" si="24"/>
        <v>22</v>
      </c>
      <c r="AM98" s="117">
        <f t="shared" si="9"/>
        <v>140800000</v>
      </c>
      <c r="AN98" s="99"/>
    </row>
    <row r="99" spans="4:47">
      <c r="D99" s="2"/>
      <c r="E99" s="3"/>
      <c r="K99" s="169" t="s">
        <v>4557</v>
      </c>
      <c r="L99" s="169" t="s">
        <v>4558</v>
      </c>
      <c r="M99" s="169" t="s">
        <v>4443</v>
      </c>
      <c r="N99" s="56" t="s">
        <v>190</v>
      </c>
      <c r="Q99" s="96"/>
      <c r="R99" s="96"/>
      <c r="S99" s="96"/>
      <c r="T99" s="96"/>
      <c r="V99" s="96"/>
      <c r="AH99" s="99">
        <v>79</v>
      </c>
      <c r="AI99" s="113" t="s">
        <v>4537</v>
      </c>
      <c r="AJ99" s="113">
        <v>5000</v>
      </c>
      <c r="AK99" s="99">
        <v>5</v>
      </c>
      <c r="AL99" s="99">
        <f t="shared" si="24"/>
        <v>21</v>
      </c>
      <c r="AM99" s="117">
        <f t="shared" si="9"/>
        <v>105000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169" t="s">
        <v>4244</v>
      </c>
      <c r="L100" s="170">
        <v>1100000</v>
      </c>
      <c r="M100" s="170">
        <v>1637000</v>
      </c>
      <c r="N100" s="169">
        <f>(M100-L100)*100/L100</f>
        <v>48.81818181818182</v>
      </c>
      <c r="Q100" s="96"/>
      <c r="R100" s="96"/>
      <c r="S100" s="96"/>
      <c r="T100" s="99" t="s">
        <v>180</v>
      </c>
      <c r="U100" s="99" t="s">
        <v>4494</v>
      </c>
      <c r="V100" s="99" t="s">
        <v>4495</v>
      </c>
      <c r="W100" s="99" t="s">
        <v>4505</v>
      </c>
      <c r="X100" s="99" t="s">
        <v>8</v>
      </c>
      <c r="Y100" t="s">
        <v>25</v>
      </c>
      <c r="AB100" s="96"/>
      <c r="AC100" s="96"/>
      <c r="AH100" s="99">
        <v>80</v>
      </c>
      <c r="AI100" s="113" t="s">
        <v>4572</v>
      </c>
      <c r="AJ100" s="113">
        <v>-1750148</v>
      </c>
      <c r="AK100" s="99">
        <v>1</v>
      </c>
      <c r="AL100" s="99">
        <f t="shared" si="24"/>
        <v>16</v>
      </c>
      <c r="AM100" s="117">
        <f t="shared" si="9"/>
        <v>-28002368</v>
      </c>
      <c r="AN100" s="99"/>
    </row>
    <row r="101" spans="4:47">
      <c r="D101" s="2" t="s">
        <v>328</v>
      </c>
      <c r="E101" s="3">
        <f>E100/30</f>
        <v>112777.76666666666</v>
      </c>
      <c r="K101" s="5" t="s">
        <v>4552</v>
      </c>
      <c r="L101" s="170">
        <v>1100000</v>
      </c>
      <c r="M101" s="170">
        <v>4748000</v>
      </c>
      <c r="N101" s="169">
        <f t="shared" ref="N101:N108" si="25">(M101-L101)*100/L101</f>
        <v>331.63636363636363</v>
      </c>
      <c r="Q101" s="36" t="s">
        <v>4597</v>
      </c>
      <c r="R101" s="95">
        <f>SUM(N39:N49)</f>
        <v>213604262.10000002</v>
      </c>
      <c r="T101" s="113" t="s">
        <v>4469</v>
      </c>
      <c r="U101" s="56">
        <v>1000000</v>
      </c>
      <c r="V101" s="113">
        <v>239.024</v>
      </c>
      <c r="W101" s="113">
        <f>U101*V101</f>
        <v>239024000</v>
      </c>
      <c r="X101" s="99"/>
      <c r="AB101" s="96"/>
      <c r="AC101" s="96"/>
      <c r="AH101" s="99">
        <v>81</v>
      </c>
      <c r="AI101" s="113" t="s">
        <v>4578</v>
      </c>
      <c r="AJ101" s="113">
        <v>400000</v>
      </c>
      <c r="AK101" s="99">
        <v>0</v>
      </c>
      <c r="AL101" s="99">
        <f t="shared" si="24"/>
        <v>15</v>
      </c>
      <c r="AM101" s="117">
        <f t="shared" si="9"/>
        <v>6000000</v>
      </c>
      <c r="AN101" s="99"/>
    </row>
    <row r="102" spans="4:47">
      <c r="K102" s="5" t="s">
        <v>4553</v>
      </c>
      <c r="L102" s="170">
        <v>1100000</v>
      </c>
      <c r="M102" s="170">
        <v>5137000</v>
      </c>
      <c r="N102" s="169">
        <f t="shared" si="25"/>
        <v>367</v>
      </c>
      <c r="Q102" s="99" t="s">
        <v>4460</v>
      </c>
      <c r="R102" s="95">
        <f>SUM(N21:N23)</f>
        <v>25293208.599999998</v>
      </c>
      <c r="T102" s="169" t="s">
        <v>4451</v>
      </c>
      <c r="U102" s="56">
        <v>5904</v>
      </c>
      <c r="V102" s="113">
        <v>237.148</v>
      </c>
      <c r="W102" s="113">
        <f t="shared" ref="W102:W112" si="26">U102*V102</f>
        <v>1400121.7919999999</v>
      </c>
      <c r="X102" s="99" t="s">
        <v>751</v>
      </c>
      <c r="AB102" s="96"/>
      <c r="AC102" s="96"/>
      <c r="AH102" s="99">
        <v>82</v>
      </c>
      <c r="AI102" s="113" t="s">
        <v>4578</v>
      </c>
      <c r="AJ102" s="113">
        <v>-2105421</v>
      </c>
      <c r="AK102" s="99">
        <v>1</v>
      </c>
      <c r="AL102" s="99">
        <f t="shared" si="24"/>
        <v>15</v>
      </c>
      <c r="AM102" s="117">
        <f t="shared" si="9"/>
        <v>-31581315</v>
      </c>
      <c r="AN102" s="99"/>
      <c r="AO102" t="s">
        <v>25</v>
      </c>
    </row>
    <row r="103" spans="4:47">
      <c r="K103" s="19" t="s">
        <v>4397</v>
      </c>
      <c r="L103" s="170">
        <v>1100000</v>
      </c>
      <c r="M103" s="170">
        <v>4300000</v>
      </c>
      <c r="N103" s="169">
        <f t="shared" si="25"/>
        <v>290.90909090909093</v>
      </c>
      <c r="Q103" s="99" t="s">
        <v>4461</v>
      </c>
      <c r="R103" s="95">
        <f>SUM(N26:N26)</f>
        <v>2929896.9</v>
      </c>
      <c r="T103" s="169" t="s">
        <v>4233</v>
      </c>
      <c r="U103" s="169">
        <v>1000</v>
      </c>
      <c r="V103" s="113">
        <v>247.393</v>
      </c>
      <c r="W103" s="113">
        <f t="shared" si="26"/>
        <v>247393</v>
      </c>
      <c r="X103" s="99" t="s">
        <v>751</v>
      </c>
      <c r="AB103" s="96"/>
      <c r="AC103" s="96"/>
      <c r="AH103" s="99">
        <v>83</v>
      </c>
      <c r="AI103" s="113" t="s">
        <v>4583</v>
      </c>
      <c r="AJ103" s="113">
        <v>-5527618</v>
      </c>
      <c r="AK103" s="99">
        <v>0</v>
      </c>
      <c r="AL103" s="99">
        <f t="shared" si="24"/>
        <v>14</v>
      </c>
      <c r="AM103" s="117">
        <f t="shared" si="9"/>
        <v>-77386652</v>
      </c>
      <c r="AN103" s="99"/>
    </row>
    <row r="104" spans="4:47">
      <c r="K104" s="5" t="s">
        <v>4416</v>
      </c>
      <c r="L104" s="170">
        <v>1100000</v>
      </c>
      <c r="M104" s="170">
        <v>3191000</v>
      </c>
      <c r="N104" s="169">
        <f t="shared" si="25"/>
        <v>190.09090909090909</v>
      </c>
      <c r="Q104" s="99" t="s">
        <v>4462</v>
      </c>
      <c r="R104" s="95">
        <f>N37</f>
        <v>19080757</v>
      </c>
      <c r="T104" s="169" t="s">
        <v>4507</v>
      </c>
      <c r="U104" s="169">
        <v>8071</v>
      </c>
      <c r="V104" s="113">
        <v>247.797</v>
      </c>
      <c r="W104" s="113">
        <f t="shared" si="26"/>
        <v>1999969.5870000001</v>
      </c>
      <c r="X104" s="99" t="s">
        <v>4458</v>
      </c>
      <c r="AB104" s="96"/>
      <c r="AC104" s="96"/>
      <c r="AH104" s="99">
        <v>84</v>
      </c>
      <c r="AI104" s="113" t="s">
        <v>4583</v>
      </c>
      <c r="AJ104" s="113">
        <v>3900000</v>
      </c>
      <c r="AK104" s="99">
        <v>3</v>
      </c>
      <c r="AL104" s="99">
        <f t="shared" si="24"/>
        <v>14</v>
      </c>
      <c r="AM104" s="117">
        <f t="shared" si="9"/>
        <v>54600000</v>
      </c>
      <c r="AN104" s="99"/>
    </row>
    <row r="105" spans="4:47">
      <c r="K105" s="5" t="s">
        <v>4554</v>
      </c>
      <c r="L105" s="170">
        <v>1100000</v>
      </c>
      <c r="M105" s="170">
        <v>5623000</v>
      </c>
      <c r="N105" s="169">
        <f t="shared" si="25"/>
        <v>411.18181818181819</v>
      </c>
      <c r="Q105" s="99" t="s">
        <v>4463</v>
      </c>
      <c r="R105" s="95">
        <f>N20</f>
        <v>0</v>
      </c>
      <c r="T105" s="169" t="s">
        <v>4507</v>
      </c>
      <c r="U105" s="169">
        <v>53672</v>
      </c>
      <c r="V105" s="113">
        <v>247.797</v>
      </c>
      <c r="W105" s="113">
        <f t="shared" si="26"/>
        <v>13299760.584000001</v>
      </c>
      <c r="X105" s="99" t="s">
        <v>452</v>
      </c>
      <c r="AB105" s="96"/>
      <c r="AC105" s="96"/>
      <c r="AH105" s="99">
        <v>85</v>
      </c>
      <c r="AI105" s="113" t="s">
        <v>4585</v>
      </c>
      <c r="AJ105" s="113">
        <v>-3969754</v>
      </c>
      <c r="AK105" s="99">
        <v>1</v>
      </c>
      <c r="AL105" s="99">
        <f t="shared" si="24"/>
        <v>11</v>
      </c>
      <c r="AM105" s="117">
        <f t="shared" si="9"/>
        <v>-43667294</v>
      </c>
      <c r="AN105" s="99"/>
    </row>
    <row r="106" spans="4:47">
      <c r="K106" s="19" t="s">
        <v>4401</v>
      </c>
      <c r="L106" s="170">
        <v>1100000</v>
      </c>
      <c r="M106" s="170">
        <v>7728000</v>
      </c>
      <c r="N106" s="169">
        <f t="shared" si="25"/>
        <v>602.5454545454545</v>
      </c>
      <c r="Q106" s="99" t="s">
        <v>4464</v>
      </c>
      <c r="R106" s="95">
        <f>N25</f>
        <v>0</v>
      </c>
      <c r="T106" s="169" t="s">
        <v>4517</v>
      </c>
      <c r="U106" s="169">
        <v>4099</v>
      </c>
      <c r="V106" s="113">
        <v>243.93</v>
      </c>
      <c r="W106" s="113">
        <f t="shared" si="26"/>
        <v>999869.07000000007</v>
      </c>
      <c r="X106" s="99" t="s">
        <v>4458</v>
      </c>
      <c r="AB106" s="96"/>
      <c r="AC106" s="96"/>
      <c r="AH106" s="99">
        <v>86</v>
      </c>
      <c r="AI106" s="113" t="s">
        <v>4599</v>
      </c>
      <c r="AJ106" s="113">
        <v>-25574455</v>
      </c>
      <c r="AK106" s="99">
        <v>0</v>
      </c>
      <c r="AL106" s="99">
        <f t="shared" si="24"/>
        <v>10</v>
      </c>
      <c r="AM106" s="117">
        <f t="shared" si="9"/>
        <v>-255744550</v>
      </c>
      <c r="AN106" s="99"/>
      <c r="AP106" t="s">
        <v>25</v>
      </c>
    </row>
    <row r="107" spans="4:47">
      <c r="K107" s="5" t="s">
        <v>4556</v>
      </c>
      <c r="L107" s="170">
        <v>1100000</v>
      </c>
      <c r="M107" s="170">
        <v>2904000</v>
      </c>
      <c r="N107" s="169">
        <f t="shared" si="25"/>
        <v>164</v>
      </c>
      <c r="Q107" s="99" t="s">
        <v>4476</v>
      </c>
      <c r="R107" s="95">
        <v>20203068</v>
      </c>
      <c r="T107" s="169" t="s">
        <v>4517</v>
      </c>
      <c r="U107" s="169">
        <v>9301</v>
      </c>
      <c r="V107" s="113">
        <v>243.93</v>
      </c>
      <c r="W107" s="113">
        <f t="shared" si="26"/>
        <v>2268792.9300000002</v>
      </c>
      <c r="X107" s="99" t="s">
        <v>452</v>
      </c>
      <c r="AB107" s="96"/>
      <c r="AC107" s="96"/>
      <c r="AH107" s="99">
        <v>87</v>
      </c>
      <c r="AI107" s="113" t="s">
        <v>4599</v>
      </c>
      <c r="AJ107" s="113">
        <v>4000000</v>
      </c>
      <c r="AK107" s="99">
        <v>1</v>
      </c>
      <c r="AL107" s="99">
        <f t="shared" si="24"/>
        <v>10</v>
      </c>
      <c r="AM107" s="117">
        <f t="shared" si="9"/>
        <v>40000000</v>
      </c>
      <c r="AN107" s="99"/>
    </row>
    <row r="108" spans="4:47">
      <c r="K108" s="56" t="s">
        <v>1086</v>
      </c>
      <c r="L108" s="170">
        <v>1100000</v>
      </c>
      <c r="M108" s="170">
        <v>3400000</v>
      </c>
      <c r="N108" s="169">
        <f t="shared" si="25"/>
        <v>209.09090909090909</v>
      </c>
      <c r="Q108" s="99" t="s">
        <v>4584</v>
      </c>
      <c r="R108" s="95">
        <v>3813764</v>
      </c>
      <c r="T108" s="169" t="s">
        <v>4525</v>
      </c>
      <c r="U108" s="169">
        <v>8334</v>
      </c>
      <c r="V108" s="113">
        <v>239.97</v>
      </c>
      <c r="W108" s="113">
        <f t="shared" si="26"/>
        <v>1999909.98</v>
      </c>
      <c r="X108" s="99" t="s">
        <v>4458</v>
      </c>
      <c r="AB108" s="96"/>
      <c r="AC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9</v>
      </c>
      <c r="AM108" s="117">
        <f t="shared" si="9"/>
        <v>-45000000</v>
      </c>
      <c r="AN108" s="99"/>
    </row>
    <row r="109" spans="4:47">
      <c r="K109" s="210" t="s">
        <v>4594</v>
      </c>
      <c r="Q109" s="99" t="s">
        <v>4624</v>
      </c>
      <c r="R109" s="95">
        <v>38700</v>
      </c>
      <c r="T109" s="169" t="s">
        <v>4232</v>
      </c>
      <c r="U109" s="169">
        <v>29041</v>
      </c>
      <c r="V109" s="113">
        <v>233.45</v>
      </c>
      <c r="W109" s="113">
        <f t="shared" si="26"/>
        <v>6779621.4499999993</v>
      </c>
      <c r="X109" s="99" t="s">
        <v>751</v>
      </c>
      <c r="AC109" s="96"/>
      <c r="AD109" s="96"/>
      <c r="AE109"/>
      <c r="AF109"/>
      <c r="AH109" s="99">
        <v>89</v>
      </c>
      <c r="AI109" s="113" t="s">
        <v>4611</v>
      </c>
      <c r="AJ109" s="113">
        <v>10000000</v>
      </c>
      <c r="AK109" s="99">
        <v>4</v>
      </c>
      <c r="AL109" s="99">
        <f t="shared" si="24"/>
        <v>7</v>
      </c>
      <c r="AM109" s="117">
        <f t="shared" si="9"/>
        <v>70000000</v>
      </c>
      <c r="AN109" s="99"/>
    </row>
    <row r="110" spans="4:47">
      <c r="K110" s="210" t="s">
        <v>4595</v>
      </c>
      <c r="Q110" s="99" t="s">
        <v>4468</v>
      </c>
      <c r="R110" s="95">
        <f>SUM(R101:R109)</f>
        <v>284963656.60000002</v>
      </c>
      <c r="S110" s="115"/>
      <c r="T110" s="169" t="s">
        <v>994</v>
      </c>
      <c r="U110" s="169">
        <v>12337</v>
      </c>
      <c r="V110" s="113">
        <v>243.16300000000001</v>
      </c>
      <c r="W110" s="113">
        <f t="shared" si="26"/>
        <v>2999901.9310000003</v>
      </c>
      <c r="X110" s="99" t="s">
        <v>4458</v>
      </c>
      <c r="AH110" s="99">
        <v>90</v>
      </c>
      <c r="AI110" s="113" t="s">
        <v>4614</v>
      </c>
      <c r="AJ110" s="113">
        <v>-5241937</v>
      </c>
      <c r="AK110" s="99">
        <v>0</v>
      </c>
      <c r="AL110" s="99">
        <f t="shared" si="24"/>
        <v>3</v>
      </c>
      <c r="AM110" s="117">
        <f t="shared" si="9"/>
        <v>-15725811</v>
      </c>
      <c r="AN110" s="99"/>
    </row>
    <row r="111" spans="4:47">
      <c r="K111" s="210" t="s">
        <v>4596</v>
      </c>
      <c r="Q111" s="96"/>
      <c r="S111" s="122"/>
      <c r="T111" s="169"/>
      <c r="U111" s="169"/>
      <c r="V111" s="113"/>
      <c r="W111" s="113"/>
      <c r="X111" s="99"/>
      <c r="AH111" s="99">
        <v>91</v>
      </c>
      <c r="AI111" s="113" t="s">
        <v>4614</v>
      </c>
      <c r="AJ111" s="113">
        <v>21900000</v>
      </c>
      <c r="AK111" s="99">
        <v>2</v>
      </c>
      <c r="AL111" s="99">
        <f t="shared" si="24"/>
        <v>3</v>
      </c>
      <c r="AM111" s="117">
        <f t="shared" si="9"/>
        <v>65700000</v>
      </c>
      <c r="AN111" s="99"/>
      <c r="AP111" t="s">
        <v>25</v>
      </c>
      <c r="AR111" s="96"/>
      <c r="AS111" s="96"/>
      <c r="AT111"/>
      <c r="AU111"/>
    </row>
    <row r="112" spans="4:47">
      <c r="Q112" s="96"/>
      <c r="R112" s="184"/>
      <c r="S112" s="115"/>
      <c r="T112" s="169"/>
      <c r="U112" s="169"/>
      <c r="V112" s="113"/>
      <c r="W112" s="113">
        <f t="shared" si="26"/>
        <v>0</v>
      </c>
      <c r="X112" s="99"/>
      <c r="AH112" s="99">
        <v>92</v>
      </c>
      <c r="AI112" s="113" t="s">
        <v>4628</v>
      </c>
      <c r="AJ112" s="113">
        <v>-15000000</v>
      </c>
      <c r="AK112" s="99">
        <v>0</v>
      </c>
      <c r="AL112" s="99">
        <f t="shared" si="24"/>
        <v>1</v>
      </c>
      <c r="AM112" s="117">
        <f t="shared" si="9"/>
        <v>-15000000</v>
      </c>
      <c r="AN112" s="99"/>
      <c r="AO112" t="s">
        <v>25</v>
      </c>
    </row>
    <row r="113" spans="17:43">
      <c r="Q113" s="96"/>
      <c r="R113" s="184"/>
      <c r="S113" s="115"/>
      <c r="T113" s="169"/>
      <c r="U113" s="169">
        <f>SUM(U101:U112)</f>
        <v>1131759</v>
      </c>
      <c r="V113" s="99"/>
      <c r="W113" s="99"/>
      <c r="X113" s="99"/>
      <c r="AH113" s="99">
        <v>93</v>
      </c>
      <c r="AI113" s="113" t="s">
        <v>4628</v>
      </c>
      <c r="AJ113" s="113">
        <v>3000000</v>
      </c>
      <c r="AK113" s="99">
        <v>1</v>
      </c>
      <c r="AL113" s="99">
        <f t="shared" si="24"/>
        <v>1</v>
      </c>
      <c r="AM113" s="117">
        <f t="shared" si="9"/>
        <v>3000000</v>
      </c>
      <c r="AN113" s="99"/>
    </row>
    <row r="114" spans="17:43">
      <c r="Q114" s="96"/>
      <c r="R114" s="115"/>
      <c r="T114" s="99"/>
      <c r="U114" s="99" t="s">
        <v>6</v>
      </c>
      <c r="V114" s="99"/>
      <c r="W114" s="99"/>
      <c r="X114" s="99"/>
      <c r="AH114" s="99" t="s">
        <v>25</v>
      </c>
      <c r="AI114" s="113"/>
      <c r="AJ114" s="113"/>
      <c r="AK114" s="99"/>
      <c r="AL114" s="99">
        <f t="shared" si="24"/>
        <v>0</v>
      </c>
      <c r="AM114" s="117">
        <f t="shared" si="9"/>
        <v>0</v>
      </c>
      <c r="AN114" s="99"/>
    </row>
    <row r="115" spans="17:43">
      <c r="T115" s="204" t="s">
        <v>4496</v>
      </c>
      <c r="AH115" s="99"/>
      <c r="AI115" s="113"/>
      <c r="AJ115" s="113"/>
      <c r="AK115" s="99"/>
      <c r="AL115" s="99">
        <f t="shared" si="24"/>
        <v>0</v>
      </c>
      <c r="AM115" s="117">
        <f t="shared" si="9"/>
        <v>0</v>
      </c>
      <c r="AN115" s="99"/>
    </row>
    <row r="116" spans="17:43">
      <c r="Q116" s="99" t="s">
        <v>4458</v>
      </c>
      <c r="R116" s="99"/>
      <c r="T116" s="203">
        <f>R110/U113</f>
        <v>251.7882840781474</v>
      </c>
      <c r="AH116" s="99"/>
      <c r="AI116" s="99"/>
      <c r="AJ116" s="95">
        <f>SUM(AJ20:AJ115)</f>
        <v>212619767</v>
      </c>
      <c r="AK116" s="99"/>
      <c r="AL116" s="99"/>
      <c r="AM116" s="95">
        <f>SUM(AM20:AM115)</f>
        <v>30540188247</v>
      </c>
      <c r="AN116" s="95">
        <f>AM116*AN119/31</f>
        <v>19703347.256129034</v>
      </c>
    </row>
    <row r="117" spans="17:43">
      <c r="Q117" s="36" t="s">
        <v>180</v>
      </c>
      <c r="R117" s="99" t="s">
        <v>267</v>
      </c>
      <c r="W117" s="114"/>
      <c r="AH117" s="99"/>
      <c r="AI117" s="99"/>
      <c r="AJ117" s="99" t="s">
        <v>4060</v>
      </c>
      <c r="AK117" s="99"/>
      <c r="AL117" s="99"/>
      <c r="AM117" s="99" t="s">
        <v>284</v>
      </c>
      <c r="AN117" s="99" t="s">
        <v>943</v>
      </c>
    </row>
    <row r="118" spans="17:43">
      <c r="Q118" s="99" t="s">
        <v>4451</v>
      </c>
      <c r="R118" s="95">
        <v>3000000</v>
      </c>
      <c r="U118" s="96" t="s">
        <v>267</v>
      </c>
      <c r="V118" t="s">
        <v>4497</v>
      </c>
      <c r="AH118" s="99"/>
      <c r="AI118" s="99"/>
      <c r="AJ118" s="99"/>
      <c r="AK118" s="99"/>
      <c r="AL118" s="99"/>
      <c r="AM118" s="99"/>
      <c r="AN118" s="99"/>
    </row>
    <row r="119" spans="17:43">
      <c r="Q119" s="99" t="s">
        <v>4507</v>
      </c>
      <c r="R119" s="95">
        <v>2000000</v>
      </c>
      <c r="U119" s="113">
        <v>3000000</v>
      </c>
      <c r="V119">
        <f>U119/T116</f>
        <v>11914.772011667117</v>
      </c>
      <c r="X119" t="s">
        <v>25</v>
      </c>
      <c r="AH119" s="99"/>
      <c r="AI119" s="99"/>
      <c r="AJ119" s="99"/>
      <c r="AK119" s="99"/>
      <c r="AL119" s="99"/>
      <c r="AM119" s="99" t="s">
        <v>4061</v>
      </c>
      <c r="AN119" s="99">
        <v>0.02</v>
      </c>
    </row>
    <row r="120" spans="17:43">
      <c r="Q120" s="99" t="s">
        <v>4517</v>
      </c>
      <c r="R120" s="95">
        <v>1000000</v>
      </c>
      <c r="X120" t="s">
        <v>25</v>
      </c>
      <c r="AH120" s="99"/>
      <c r="AI120" s="99"/>
      <c r="AJ120" s="99"/>
      <c r="AK120" s="99"/>
      <c r="AL120" s="99"/>
      <c r="AM120" s="99"/>
      <c r="AN120" s="99"/>
      <c r="AO120" t="s">
        <v>25</v>
      </c>
    </row>
    <row r="121" spans="17:43">
      <c r="Q121" s="99" t="s">
        <v>4525</v>
      </c>
      <c r="R121" s="95">
        <v>2000000</v>
      </c>
      <c r="AH121" s="99"/>
      <c r="AI121" s="99" t="s">
        <v>4062</v>
      </c>
      <c r="AJ121" s="95">
        <f>AJ116+AN116</f>
        <v>232323114.25612903</v>
      </c>
      <c r="AK121" s="99"/>
      <c r="AL121" s="99"/>
      <c r="AM121" s="99"/>
      <c r="AN121" s="99"/>
      <c r="AP121" t="s">
        <v>25</v>
      </c>
    </row>
    <row r="122" spans="17:43">
      <c r="Q122" s="99" t="s">
        <v>994</v>
      </c>
      <c r="R122" s="95">
        <v>3000000</v>
      </c>
      <c r="AI122" t="s">
        <v>4065</v>
      </c>
      <c r="AJ122" s="114">
        <f>SUM(N37:N49)</f>
        <v>232685019.10000002</v>
      </c>
      <c r="AQ122" t="s">
        <v>25</v>
      </c>
    </row>
    <row r="123" spans="17:43">
      <c r="Q123" s="99"/>
      <c r="R123" s="95"/>
      <c r="AI123" t="s">
        <v>4137</v>
      </c>
      <c r="AJ123" s="114">
        <f>AJ122-AJ116</f>
        <v>20065252.100000024</v>
      </c>
      <c r="AM123" t="s">
        <v>25</v>
      </c>
    </row>
    <row r="124" spans="17:43" ht="60">
      <c r="Q124" s="99"/>
      <c r="R124" s="95">
        <f>SUM(R118:R122)</f>
        <v>11000000</v>
      </c>
      <c r="T124" s="22" t="s">
        <v>4479</v>
      </c>
      <c r="Y124" t="s">
        <v>25</v>
      </c>
      <c r="AI124" t="s">
        <v>943</v>
      </c>
      <c r="AJ124" s="114">
        <f>AN116</f>
        <v>19703347.256129034</v>
      </c>
    </row>
    <row r="125" spans="17:43" ht="45">
      <c r="Q125" s="99"/>
      <c r="R125" s="99" t="s">
        <v>6</v>
      </c>
      <c r="T125" s="22" t="s">
        <v>4480</v>
      </c>
      <c r="AI125" t="s">
        <v>4066</v>
      </c>
      <c r="AJ125" s="114">
        <f>AJ122-AJ121</f>
        <v>361904.84387099743</v>
      </c>
    </row>
    <row r="126" spans="17:43">
      <c r="AM126" t="s">
        <v>25</v>
      </c>
    </row>
    <row r="127" spans="17:43">
      <c r="Q127" s="96"/>
      <c r="R127" s="96"/>
      <c r="AJ127" t="s">
        <v>25</v>
      </c>
    </row>
    <row r="128" spans="17:43">
      <c r="Q128" s="96"/>
      <c r="R128" s="96"/>
      <c r="T128" s="99" t="s">
        <v>4498</v>
      </c>
      <c r="U128" s="99" t="s">
        <v>4468</v>
      </c>
      <c r="V128" s="99" t="s">
        <v>953</v>
      </c>
    </row>
    <row r="129" spans="17:40">
      <c r="T129" s="95">
        <f>R124+R137+R146</f>
        <v>271019393</v>
      </c>
      <c r="U129" s="95">
        <f>R110</f>
        <v>284963656.60000002</v>
      </c>
      <c r="V129" s="95">
        <f>U129-T129</f>
        <v>13944263.600000024</v>
      </c>
    </row>
    <row r="130" spans="17:40">
      <c r="Q130" s="99" t="s">
        <v>751</v>
      </c>
      <c r="R130" s="99"/>
    </row>
    <row r="131" spans="17:40">
      <c r="Q131" s="99" t="s">
        <v>4451</v>
      </c>
      <c r="R131" s="95">
        <v>172908000</v>
      </c>
    </row>
    <row r="132" spans="17:40">
      <c r="Q132" s="99" t="s">
        <v>4493</v>
      </c>
      <c r="R132" s="95">
        <v>1400000</v>
      </c>
      <c r="AH132" s="99" t="s">
        <v>3642</v>
      </c>
      <c r="AI132" s="99" t="s">
        <v>180</v>
      </c>
      <c r="AJ132" s="99" t="s">
        <v>267</v>
      </c>
      <c r="AK132" s="99" t="s">
        <v>4059</v>
      </c>
      <c r="AL132" s="99" t="s">
        <v>4051</v>
      </c>
      <c r="AM132" s="99" t="s">
        <v>282</v>
      </c>
      <c r="AN132" s="99" t="s">
        <v>4294</v>
      </c>
    </row>
    <row r="133" spans="17:40">
      <c r="Q133" s="99" t="s">
        <v>4233</v>
      </c>
      <c r="R133" s="95">
        <v>247393</v>
      </c>
      <c r="AH133" s="99">
        <v>1</v>
      </c>
      <c r="AI133" s="99" t="s">
        <v>3950</v>
      </c>
      <c r="AJ133" s="117">
        <v>3555820</v>
      </c>
      <c r="AK133" s="99">
        <v>2</v>
      </c>
      <c r="AL133" s="99">
        <f>AK133+AL134</f>
        <v>157</v>
      </c>
      <c r="AM133" s="99">
        <f>AJ133*AL133</f>
        <v>558263740</v>
      </c>
      <c r="AN133" s="99" t="s">
        <v>4317</v>
      </c>
    </row>
    <row r="134" spans="17:40">
      <c r="Q134" s="99" t="s">
        <v>4232</v>
      </c>
      <c r="R134" s="95">
        <v>6780000</v>
      </c>
      <c r="AH134" s="99">
        <v>2</v>
      </c>
      <c r="AI134" s="99" t="s">
        <v>4025</v>
      </c>
      <c r="AJ134" s="117">
        <v>1720837</v>
      </c>
      <c r="AK134" s="99">
        <v>51</v>
      </c>
      <c r="AL134" s="99">
        <f t="shared" ref="AL134:AL158" si="27">AK134+AL135</f>
        <v>155</v>
      </c>
      <c r="AM134" s="99">
        <f t="shared" ref="AM134:AM158" si="28">AJ134*AL134</f>
        <v>266729735</v>
      </c>
      <c r="AN134" s="99" t="s">
        <v>4318</v>
      </c>
    </row>
    <row r="135" spans="17:40">
      <c r="Q135" s="99"/>
      <c r="R135" s="95"/>
      <c r="AH135" s="99">
        <v>3</v>
      </c>
      <c r="AI135" s="99" t="s">
        <v>4131</v>
      </c>
      <c r="AJ135" s="117">
        <v>150000</v>
      </c>
      <c r="AK135" s="99">
        <v>3</v>
      </c>
      <c r="AL135" s="99">
        <f t="shared" si="27"/>
        <v>104</v>
      </c>
      <c r="AM135" s="99">
        <f t="shared" si="28"/>
        <v>15600000</v>
      </c>
      <c r="AN135" s="99"/>
    </row>
    <row r="136" spans="17:40">
      <c r="Q136" s="99"/>
      <c r="R136" s="95"/>
      <c r="Y136" t="s">
        <v>25</v>
      </c>
      <c r="AH136" s="99">
        <v>4</v>
      </c>
      <c r="AI136" s="99" t="s">
        <v>4146</v>
      </c>
      <c r="AJ136" s="117">
        <v>-95000</v>
      </c>
      <c r="AK136" s="99">
        <v>8</v>
      </c>
      <c r="AL136" s="99">
        <f t="shared" si="27"/>
        <v>101</v>
      </c>
      <c r="AM136" s="99">
        <f t="shared" si="28"/>
        <v>-9595000</v>
      </c>
      <c r="AN136" s="99"/>
    </row>
    <row r="137" spans="17:40">
      <c r="Q137" s="99"/>
      <c r="R137" s="95">
        <f>SUM(R131:R135)</f>
        <v>181335393</v>
      </c>
      <c r="AH137" s="99">
        <v>5</v>
      </c>
      <c r="AI137" s="99" t="s">
        <v>4173</v>
      </c>
      <c r="AJ137" s="117">
        <v>3150000</v>
      </c>
      <c r="AK137" s="99">
        <v>16</v>
      </c>
      <c r="AL137" s="99">
        <f t="shared" si="27"/>
        <v>93</v>
      </c>
      <c r="AM137" s="99">
        <f t="shared" si="28"/>
        <v>292950000</v>
      </c>
      <c r="AN137" s="99"/>
    </row>
    <row r="138" spans="17:40">
      <c r="Q138" s="99"/>
      <c r="R138" s="99" t="s">
        <v>6</v>
      </c>
      <c r="AH138" s="99">
        <v>6</v>
      </c>
      <c r="AI138" s="99" t="s">
        <v>4242</v>
      </c>
      <c r="AJ138" s="117">
        <v>-65000</v>
      </c>
      <c r="AK138" s="99">
        <v>1</v>
      </c>
      <c r="AL138" s="99">
        <f t="shared" si="27"/>
        <v>77</v>
      </c>
      <c r="AM138" s="99">
        <f t="shared" si="28"/>
        <v>-5005000</v>
      </c>
      <c r="AN138" s="99"/>
    </row>
    <row r="139" spans="17:40">
      <c r="AH139" s="99">
        <v>7</v>
      </c>
      <c r="AI139" s="99" t="s">
        <v>4319</v>
      </c>
      <c r="AJ139" s="117">
        <v>-95000</v>
      </c>
      <c r="AK139" s="99">
        <v>6</v>
      </c>
      <c r="AL139" s="99">
        <f t="shared" si="27"/>
        <v>76</v>
      </c>
      <c r="AM139" s="99">
        <f t="shared" si="28"/>
        <v>-7220000</v>
      </c>
      <c r="AN139" s="99"/>
    </row>
    <row r="140" spans="17:40">
      <c r="AH140" s="99">
        <v>8</v>
      </c>
      <c r="AI140" s="99" t="s">
        <v>4320</v>
      </c>
      <c r="AJ140" s="117">
        <v>232000</v>
      </c>
      <c r="AK140" s="99">
        <v>7</v>
      </c>
      <c r="AL140" s="99">
        <f t="shared" si="27"/>
        <v>70</v>
      </c>
      <c r="AM140" s="99">
        <f t="shared" si="28"/>
        <v>16240000</v>
      </c>
      <c r="AN140" s="99"/>
    </row>
    <row r="141" spans="17:40">
      <c r="Q141" s="99" t="s">
        <v>452</v>
      </c>
      <c r="R141" s="99"/>
      <c r="AH141" s="99">
        <v>9</v>
      </c>
      <c r="AI141" s="99" t="s">
        <v>4293</v>
      </c>
      <c r="AJ141" s="117">
        <v>13000000</v>
      </c>
      <c r="AK141" s="99">
        <v>2</v>
      </c>
      <c r="AL141" s="99">
        <f t="shared" si="27"/>
        <v>63</v>
      </c>
      <c r="AM141" s="99">
        <f t="shared" si="28"/>
        <v>819000000</v>
      </c>
      <c r="AN141" s="99"/>
    </row>
    <row r="142" spans="17:40">
      <c r="Q142" s="99" t="s">
        <v>4451</v>
      </c>
      <c r="R142" s="95">
        <v>63115000</v>
      </c>
      <c r="AH142" s="99">
        <v>10</v>
      </c>
      <c r="AI142" s="99" t="s">
        <v>4321</v>
      </c>
      <c r="AJ142" s="117">
        <v>10000000</v>
      </c>
      <c r="AK142" s="99">
        <v>3</v>
      </c>
      <c r="AL142" s="99">
        <f t="shared" si="27"/>
        <v>61</v>
      </c>
      <c r="AM142" s="99">
        <f t="shared" si="28"/>
        <v>610000000</v>
      </c>
      <c r="AN142" s="99"/>
    </row>
    <row r="143" spans="17:40">
      <c r="Q143" s="99" t="s">
        <v>4507</v>
      </c>
      <c r="R143" s="95">
        <v>13300000</v>
      </c>
      <c r="AH143" s="99">
        <v>11</v>
      </c>
      <c r="AI143" s="99" t="s">
        <v>4306</v>
      </c>
      <c r="AJ143" s="117">
        <v>3400000</v>
      </c>
      <c r="AK143" s="99">
        <v>9</v>
      </c>
      <c r="AL143" s="99">
        <f t="shared" si="27"/>
        <v>58</v>
      </c>
      <c r="AM143" s="99">
        <f t="shared" si="28"/>
        <v>197200000</v>
      </c>
      <c r="AN143" s="99"/>
    </row>
    <row r="144" spans="17:40">
      <c r="Q144" s="99" t="s">
        <v>4517</v>
      </c>
      <c r="R144" s="95">
        <v>2269000</v>
      </c>
      <c r="AH144" s="99">
        <v>12</v>
      </c>
      <c r="AI144" s="99" t="s">
        <v>4353</v>
      </c>
      <c r="AJ144" s="117">
        <v>-8736514</v>
      </c>
      <c r="AK144" s="99">
        <v>1</v>
      </c>
      <c r="AL144" s="99">
        <f>AK144+AL145</f>
        <v>49</v>
      </c>
      <c r="AM144" s="99">
        <f t="shared" si="28"/>
        <v>-428089186</v>
      </c>
      <c r="AN144" s="99"/>
    </row>
    <row r="145" spans="17:44">
      <c r="Q145" s="99"/>
      <c r="R145" s="95"/>
      <c r="T145" t="s">
        <v>25</v>
      </c>
      <c r="AH145" s="99">
        <v>13</v>
      </c>
      <c r="AI145" s="99" t="s">
        <v>4354</v>
      </c>
      <c r="AJ145" s="117">
        <v>555000</v>
      </c>
      <c r="AK145" s="99">
        <v>5</v>
      </c>
      <c r="AL145" s="99">
        <f t="shared" ref="AL145:AL157" si="29">AK145+AL146</f>
        <v>48</v>
      </c>
      <c r="AM145" s="99">
        <f t="shared" si="28"/>
        <v>26640000</v>
      </c>
      <c r="AN145" s="99"/>
    </row>
    <row r="146" spans="17:44">
      <c r="Q146" s="99"/>
      <c r="R146" s="95">
        <f>SUM(R142:R144)</f>
        <v>78684000</v>
      </c>
      <c r="AH146" s="99">
        <v>14</v>
      </c>
      <c r="AI146" s="99" t="s">
        <v>4378</v>
      </c>
      <c r="AJ146" s="117">
        <v>-448308</v>
      </c>
      <c r="AK146" s="99">
        <v>6</v>
      </c>
      <c r="AL146" s="99">
        <f t="shared" si="29"/>
        <v>43</v>
      </c>
      <c r="AM146" s="99">
        <f t="shared" si="28"/>
        <v>-19277244</v>
      </c>
      <c r="AN146" s="99"/>
      <c r="AR146" t="s">
        <v>25</v>
      </c>
    </row>
    <row r="147" spans="17:44">
      <c r="Q147" s="99"/>
      <c r="R147" s="99" t="s">
        <v>6</v>
      </c>
      <c r="AH147" s="99">
        <v>15</v>
      </c>
      <c r="AI147" s="99" t="s">
        <v>4410</v>
      </c>
      <c r="AJ147" s="117">
        <v>33225</v>
      </c>
      <c r="AK147" s="99">
        <v>0</v>
      </c>
      <c r="AL147" s="99">
        <f t="shared" si="29"/>
        <v>37</v>
      </c>
      <c r="AM147" s="99">
        <f t="shared" si="28"/>
        <v>1229325</v>
      </c>
      <c r="AN147" s="99"/>
    </row>
    <row r="148" spans="17:44">
      <c r="AH148" s="149">
        <v>16</v>
      </c>
      <c r="AI148" s="149" t="s">
        <v>4410</v>
      </c>
      <c r="AJ148" s="191">
        <v>4098523</v>
      </c>
      <c r="AK148" s="149">
        <v>2</v>
      </c>
      <c r="AL148" s="149">
        <f t="shared" si="29"/>
        <v>37</v>
      </c>
      <c r="AM148" s="149">
        <f t="shared" si="28"/>
        <v>151645351</v>
      </c>
      <c r="AN148" s="149" t="s">
        <v>657</v>
      </c>
    </row>
    <row r="149" spans="17:44">
      <c r="AH149" s="149">
        <v>17</v>
      </c>
      <c r="AI149" s="149" t="s">
        <v>4424</v>
      </c>
      <c r="AJ149" s="191">
        <v>-1000000</v>
      </c>
      <c r="AK149" s="149">
        <v>7</v>
      </c>
      <c r="AL149" s="149">
        <f t="shared" si="29"/>
        <v>35</v>
      </c>
      <c r="AM149" s="149">
        <f t="shared" si="28"/>
        <v>-35000000</v>
      </c>
      <c r="AN149" s="149" t="s">
        <v>657</v>
      </c>
    </row>
    <row r="150" spans="17:44">
      <c r="AH150" s="149">
        <v>18</v>
      </c>
      <c r="AI150" s="149" t="s">
        <v>4447</v>
      </c>
      <c r="AJ150" s="191">
        <v>750000</v>
      </c>
      <c r="AK150" s="149">
        <v>1</v>
      </c>
      <c r="AL150" s="149">
        <f t="shared" si="29"/>
        <v>28</v>
      </c>
      <c r="AM150" s="149">
        <f t="shared" si="28"/>
        <v>21000000</v>
      </c>
      <c r="AN150" s="149" t="s">
        <v>657</v>
      </c>
    </row>
    <row r="151" spans="17:44">
      <c r="AH151" s="199">
        <v>19</v>
      </c>
      <c r="AI151" s="199" t="s">
        <v>4449</v>
      </c>
      <c r="AJ151" s="200">
        <v>-604152</v>
      </c>
      <c r="AK151" s="199">
        <v>0</v>
      </c>
      <c r="AL151" s="199">
        <f t="shared" si="29"/>
        <v>27</v>
      </c>
      <c r="AM151" s="199">
        <f t="shared" si="28"/>
        <v>-16312104</v>
      </c>
      <c r="AN151" s="199" t="s">
        <v>657</v>
      </c>
    </row>
    <row r="152" spans="17:44">
      <c r="AH152" s="99">
        <v>20</v>
      </c>
      <c r="AI152" s="99" t="s">
        <v>4450</v>
      </c>
      <c r="AJ152" s="117">
        <v>-587083</v>
      </c>
      <c r="AK152" s="99">
        <v>4</v>
      </c>
      <c r="AL152" s="99">
        <f t="shared" si="29"/>
        <v>27</v>
      </c>
      <c r="AM152" s="99">
        <f t="shared" si="28"/>
        <v>-15851241</v>
      </c>
      <c r="AN152" s="99"/>
    </row>
    <row r="153" spans="17:44">
      <c r="AH153" s="199">
        <v>21</v>
      </c>
      <c r="AI153" s="199" t="s">
        <v>4451</v>
      </c>
      <c r="AJ153" s="200">
        <v>-754351</v>
      </c>
      <c r="AK153" s="199">
        <v>0</v>
      </c>
      <c r="AL153" s="99">
        <f t="shared" si="29"/>
        <v>23</v>
      </c>
      <c r="AM153" s="199">
        <f t="shared" si="28"/>
        <v>-17350073</v>
      </c>
      <c r="AN153" s="199" t="s">
        <v>657</v>
      </c>
    </row>
    <row r="154" spans="17:44">
      <c r="AH154" s="99">
        <v>22</v>
      </c>
      <c r="AI154" s="99" t="s">
        <v>4451</v>
      </c>
      <c r="AJ154" s="117">
        <v>-189619</v>
      </c>
      <c r="AK154" s="99">
        <v>15</v>
      </c>
      <c r="AL154" s="99">
        <f t="shared" si="29"/>
        <v>23</v>
      </c>
      <c r="AM154" s="99">
        <f t="shared" si="28"/>
        <v>-4361237</v>
      </c>
      <c r="AN154" s="99"/>
    </row>
    <row r="155" spans="17:44">
      <c r="AH155" s="199">
        <v>23</v>
      </c>
      <c r="AI155" s="199" t="s">
        <v>4529</v>
      </c>
      <c r="AJ155" s="199">
        <v>7100</v>
      </c>
      <c r="AK155" s="199">
        <v>0</v>
      </c>
      <c r="AL155" s="99">
        <f t="shared" si="29"/>
        <v>8</v>
      </c>
      <c r="AM155" s="199">
        <f t="shared" si="28"/>
        <v>56800</v>
      </c>
      <c r="AN155" s="199" t="s">
        <v>657</v>
      </c>
    </row>
    <row r="156" spans="17:44">
      <c r="AH156" s="20">
        <v>24</v>
      </c>
      <c r="AI156" s="20" t="s">
        <v>4529</v>
      </c>
      <c r="AJ156" s="20">
        <v>-147902</v>
      </c>
      <c r="AK156" s="20">
        <v>3</v>
      </c>
      <c r="AL156" s="99">
        <f t="shared" si="29"/>
        <v>8</v>
      </c>
      <c r="AM156" s="199">
        <f t="shared" si="28"/>
        <v>-1183216</v>
      </c>
      <c r="AN156" s="20"/>
    </row>
    <row r="157" spans="17:44">
      <c r="AH157" s="149">
        <v>25</v>
      </c>
      <c r="AI157" s="149" t="s">
        <v>4537</v>
      </c>
      <c r="AJ157" s="149">
        <v>-37200</v>
      </c>
      <c r="AK157" s="149">
        <v>4</v>
      </c>
      <c r="AL157" s="99">
        <f t="shared" si="29"/>
        <v>5</v>
      </c>
      <c r="AM157" s="199">
        <f t="shared" si="28"/>
        <v>-186000</v>
      </c>
      <c r="AN157" s="149" t="s">
        <v>657</v>
      </c>
    </row>
    <row r="158" spans="17:44">
      <c r="AH158" s="99">
        <v>26</v>
      </c>
      <c r="AI158" s="99" t="s">
        <v>4571</v>
      </c>
      <c r="AJ158" s="99">
        <v>-372326</v>
      </c>
      <c r="AK158" s="99">
        <v>1</v>
      </c>
      <c r="AL158" s="99">
        <f t="shared" si="27"/>
        <v>1</v>
      </c>
      <c r="AM158" s="99">
        <f t="shared" si="28"/>
        <v>-372326</v>
      </c>
      <c r="AN158" s="99"/>
    </row>
    <row r="159" spans="17:44">
      <c r="AH159" s="99"/>
      <c r="AI159" s="99"/>
      <c r="AJ159" s="99"/>
      <c r="AK159" s="99"/>
      <c r="AL159" s="99"/>
      <c r="AM159" s="99"/>
      <c r="AN159" s="99"/>
    </row>
    <row r="160" spans="17:44">
      <c r="AH160" s="99"/>
      <c r="AI160" s="99"/>
      <c r="AJ160" s="95">
        <f>SUM(AJ133:AJ159)</f>
        <v>27520050</v>
      </c>
      <c r="AK160" s="99"/>
      <c r="AL160" s="99"/>
      <c r="AM160" s="99">
        <f>SUM(AM133:AM159)</f>
        <v>2416752324</v>
      </c>
      <c r="AN160" s="95">
        <f>AM160*AN119/31</f>
        <v>1559195.0477419356</v>
      </c>
    </row>
    <row r="161" spans="35:40">
      <c r="AJ161" t="s">
        <v>4060</v>
      </c>
      <c r="AM161" t="s">
        <v>284</v>
      </c>
      <c r="AN161" t="s">
        <v>943</v>
      </c>
    </row>
    <row r="163" spans="35:40">
      <c r="AI163" t="s">
        <v>4062</v>
      </c>
      <c r="AJ163" s="114">
        <f>AJ160+AN160</f>
        <v>29079245.047741935</v>
      </c>
    </row>
    <row r="164" spans="35:40">
      <c r="AI164" t="s">
        <v>4065</v>
      </c>
      <c r="AJ164" s="114">
        <f>SUM(N20:N26)</f>
        <v>28223105.499999996</v>
      </c>
    </row>
    <row r="165" spans="35:40">
      <c r="AI165" t="s">
        <v>4137</v>
      </c>
      <c r="AJ165" s="114">
        <f>AJ164-AJ160</f>
        <v>703055.49999999627</v>
      </c>
    </row>
    <row r="166" spans="35:40">
      <c r="AI166" t="s">
        <v>943</v>
      </c>
      <c r="AJ166" s="114">
        <f>AN160</f>
        <v>1559195.0477419356</v>
      </c>
    </row>
    <row r="167" spans="35:40">
      <c r="AI167" t="s">
        <v>4066</v>
      </c>
      <c r="AJ167" s="114">
        <f>AJ165-AJ166</f>
        <v>-856139.54774193931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6 S28 P22 U88 S65 S70 S7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H12" sqref="H12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14062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5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4495</v>
      </c>
      <c r="M1" s="169" t="s">
        <v>937</v>
      </c>
      <c r="N1" s="56" t="s">
        <v>940</v>
      </c>
      <c r="O1" s="99" t="s">
        <v>8</v>
      </c>
    </row>
    <row r="2" spans="1:15">
      <c r="A2" s="99" t="s">
        <v>4244</v>
      </c>
      <c r="B2" s="207">
        <v>1758</v>
      </c>
      <c r="C2" s="209" t="s">
        <v>4629</v>
      </c>
      <c r="D2" s="99" t="s">
        <v>4511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7">
        <v>3792000</v>
      </c>
      <c r="C3" s="170">
        <v>3992000</v>
      </c>
      <c r="D3" s="99" t="s">
        <v>4511</v>
      </c>
      <c r="J3" s="169">
        <v>2</v>
      </c>
      <c r="K3" s="169" t="s">
        <v>4507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 t="s">
        <v>4587</v>
      </c>
      <c r="B4" s="207">
        <v>1689</v>
      </c>
      <c r="C4" s="170"/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 t="s">
        <v>4554</v>
      </c>
      <c r="B5" s="207">
        <v>3414</v>
      </c>
      <c r="C5" s="170">
        <v>3622</v>
      </c>
      <c r="D5" s="99"/>
      <c r="J5" s="169"/>
      <c r="K5" s="169"/>
      <c r="L5" s="113"/>
      <c r="M5" s="169"/>
      <c r="N5" s="113"/>
      <c r="O5" s="99"/>
    </row>
    <row r="6" spans="1:15">
      <c r="A6" s="99" t="s">
        <v>4612</v>
      </c>
      <c r="B6" s="207">
        <v>1174</v>
      </c>
      <c r="C6" s="170" t="s">
        <v>25</v>
      </c>
      <c r="D6" s="99"/>
      <c r="G6" t="s">
        <v>25</v>
      </c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 t="s">
        <v>4416</v>
      </c>
      <c r="B7" s="207">
        <v>472</v>
      </c>
      <c r="C7" s="170">
        <v>519</v>
      </c>
      <c r="D7" s="99"/>
      <c r="F7" s="114"/>
      <c r="J7" s="169"/>
      <c r="K7" s="169"/>
      <c r="L7" s="169"/>
      <c r="M7" s="169" t="s">
        <v>6</v>
      </c>
      <c r="N7" s="169"/>
      <c r="O7" s="99"/>
    </row>
    <row r="8" spans="1:15">
      <c r="A8" s="99"/>
      <c r="B8" s="207"/>
      <c r="C8" s="170"/>
      <c r="D8" s="99"/>
      <c r="M8" s="113">
        <f>N6/M6</f>
        <v>4053750</v>
      </c>
    </row>
    <row r="9" spans="1:15">
      <c r="A9" s="99" t="s">
        <v>4573</v>
      </c>
      <c r="B9" s="207">
        <v>1354866</v>
      </c>
      <c r="C9" s="170"/>
      <c r="D9" s="59" t="s">
        <v>4634</v>
      </c>
      <c r="M9" s="41" t="s">
        <v>4539</v>
      </c>
      <c r="N9" t="s">
        <v>25</v>
      </c>
    </row>
    <row r="10" spans="1:15">
      <c r="A10" s="99"/>
      <c r="B10" s="207"/>
      <c r="C10" s="170"/>
      <c r="D10" s="99"/>
    </row>
    <row r="11" spans="1:15">
      <c r="A11" s="99"/>
      <c r="B11" s="207"/>
      <c r="C11" s="170"/>
      <c r="D11" s="99"/>
      <c r="F11" s="114"/>
    </row>
    <row r="12" spans="1:15">
      <c r="A12" s="99"/>
      <c r="B12" s="207"/>
      <c r="C12" s="170"/>
      <c r="D12" s="99"/>
      <c r="F12" s="114"/>
      <c r="L12">
        <f>140-M6-3</f>
        <v>121</v>
      </c>
      <c r="M12">
        <f>75-3-M2-M4</f>
        <v>60</v>
      </c>
    </row>
    <row r="13" spans="1:15">
      <c r="A13" s="99"/>
      <c r="B13" s="207"/>
      <c r="C13" s="170"/>
      <c r="D13" s="99"/>
      <c r="F13" s="114"/>
      <c r="M13">
        <f>65-M3</f>
        <v>61</v>
      </c>
    </row>
    <row r="14" spans="1:15">
      <c r="A14" s="99"/>
      <c r="F14" s="114"/>
    </row>
    <row r="15" spans="1:15">
      <c r="A15" s="99"/>
      <c r="B15" s="207">
        <v>3965000</v>
      </c>
      <c r="C15" s="170"/>
      <c r="D15" s="99" t="s">
        <v>4499</v>
      </c>
      <c r="F15" s="114">
        <f>B9+F7+F8+F9+F10+F11+F12+F13+F14</f>
        <v>1354866</v>
      </c>
    </row>
    <row r="16" spans="1:15">
      <c r="A16" s="99"/>
      <c r="B16" s="207">
        <v>3880000</v>
      </c>
      <c r="C16" s="170"/>
      <c r="D16" s="99" t="s">
        <v>4506</v>
      </c>
    </row>
    <row r="17" spans="1:19">
      <c r="A17" s="99" t="s">
        <v>4512</v>
      </c>
      <c r="B17" s="208"/>
      <c r="C17" s="170">
        <v>3894000</v>
      </c>
      <c r="D17" s="99" t="s">
        <v>4507</v>
      </c>
      <c r="G17" s="169" t="s">
        <v>4538</v>
      </c>
      <c r="H17" s="169" t="s">
        <v>4297</v>
      </c>
      <c r="I17" s="169" t="s">
        <v>937</v>
      </c>
      <c r="J17" s="169" t="s">
        <v>4244</v>
      </c>
      <c r="K17" s="169" t="s">
        <v>4567</v>
      </c>
      <c r="L17" s="169"/>
      <c r="M17" s="41"/>
      <c r="N17" s="41"/>
      <c r="O17" s="169" t="s">
        <v>4550</v>
      </c>
      <c r="P17" s="169" t="s">
        <v>1086</v>
      </c>
      <c r="Q17" s="169" t="s">
        <v>4244</v>
      </c>
      <c r="R17" s="169" t="s">
        <v>4567</v>
      </c>
      <c r="S17" s="169"/>
    </row>
    <row r="18" spans="1:19">
      <c r="A18" s="99"/>
      <c r="B18" s="207"/>
      <c r="C18" s="170">
        <v>3845000</v>
      </c>
      <c r="D18" s="99" t="s">
        <v>4507</v>
      </c>
      <c r="G18" s="169" t="s">
        <v>4547</v>
      </c>
      <c r="H18" s="169">
        <v>281</v>
      </c>
      <c r="I18" s="169">
        <v>15274</v>
      </c>
      <c r="J18" s="169">
        <v>165.5</v>
      </c>
      <c r="K18" s="169">
        <f>H18/J18</f>
        <v>1.6978851963746224</v>
      </c>
      <c r="L18" s="169" t="s">
        <v>4605</v>
      </c>
      <c r="M18" s="41"/>
      <c r="N18" s="41"/>
      <c r="O18" s="169" t="s">
        <v>4537</v>
      </c>
      <c r="P18" s="169">
        <v>3390000</v>
      </c>
      <c r="Q18" s="169">
        <v>161.4</v>
      </c>
      <c r="R18" s="169">
        <f>P18/Q18</f>
        <v>21003.717472118959</v>
      </c>
      <c r="S18" s="169"/>
    </row>
    <row r="19" spans="1:19">
      <c r="A19" s="99"/>
      <c r="B19" s="207"/>
      <c r="C19" s="170">
        <v>3845000</v>
      </c>
      <c r="D19" s="99" t="s">
        <v>4507</v>
      </c>
      <c r="G19" s="169" t="s">
        <v>4546</v>
      </c>
      <c r="H19" s="169">
        <v>289.3</v>
      </c>
      <c r="I19" s="169">
        <v>14073</v>
      </c>
      <c r="J19" s="169">
        <v>166.2</v>
      </c>
      <c r="K19" s="169">
        <f>H19/J19</f>
        <v>1.7406738868832734</v>
      </c>
      <c r="L19" s="169" t="s">
        <v>4605</v>
      </c>
      <c r="M19" s="41"/>
      <c r="N19" s="41"/>
      <c r="O19" s="169"/>
      <c r="P19" s="169"/>
      <c r="Q19" s="169"/>
      <c r="R19" s="169"/>
      <c r="S19" s="169"/>
    </row>
    <row r="20" spans="1:19">
      <c r="A20" s="99"/>
      <c r="B20" s="207"/>
      <c r="C20" s="170">
        <v>3845000</v>
      </c>
      <c r="D20" s="99" t="s">
        <v>4507</v>
      </c>
      <c r="G20" s="169" t="s">
        <v>4548</v>
      </c>
      <c r="H20" s="169">
        <v>281</v>
      </c>
      <c r="I20" s="169">
        <v>5000</v>
      </c>
      <c r="J20" s="169">
        <v>160.19999999999999</v>
      </c>
      <c r="K20" s="169">
        <f>H20/J20</f>
        <v>1.7540574282147317</v>
      </c>
      <c r="L20" s="169" t="s">
        <v>4605</v>
      </c>
      <c r="M20" s="41"/>
      <c r="N20" s="41"/>
      <c r="O20" s="169"/>
      <c r="P20" s="169"/>
      <c r="Q20" s="169"/>
      <c r="R20" s="169"/>
      <c r="S20" s="169"/>
    </row>
    <row r="21" spans="1:19">
      <c r="A21" s="99" t="s">
        <v>4514</v>
      </c>
      <c r="B21" s="207">
        <v>4020000</v>
      </c>
      <c r="C21" s="170">
        <v>30000</v>
      </c>
      <c r="D21" s="99" t="s">
        <v>4511</v>
      </c>
      <c r="G21" s="169" t="s">
        <v>994</v>
      </c>
      <c r="H21" s="169">
        <v>284.7</v>
      </c>
      <c r="I21" s="169">
        <v>8196</v>
      </c>
      <c r="J21" s="169">
        <v>174.7</v>
      </c>
      <c r="K21" s="169">
        <f>H21/J21</f>
        <v>1.629650829994276</v>
      </c>
      <c r="L21" s="169" t="s">
        <v>4606</v>
      </c>
      <c r="M21" s="41"/>
      <c r="N21" s="41"/>
      <c r="O21" s="169"/>
      <c r="P21" s="169"/>
      <c r="Q21" s="169"/>
      <c r="R21" s="169"/>
      <c r="S21" s="169"/>
    </row>
    <row r="22" spans="1:19">
      <c r="A22" s="99"/>
      <c r="B22" s="207">
        <v>3915000</v>
      </c>
      <c r="C22" s="170"/>
      <c r="D22" s="99" t="s">
        <v>4513</v>
      </c>
      <c r="G22" s="169"/>
      <c r="H22" s="169"/>
      <c r="I22" s="169"/>
      <c r="J22" s="169"/>
      <c r="K22" s="169"/>
      <c r="L22" s="169"/>
      <c r="M22" s="41"/>
      <c r="N22" s="41"/>
      <c r="O22" s="169"/>
      <c r="P22" s="169"/>
      <c r="Q22" s="169"/>
      <c r="R22" s="169"/>
      <c r="S22" s="169"/>
    </row>
    <row r="23" spans="1:19">
      <c r="A23" s="99"/>
      <c r="B23" s="207">
        <v>3821000</v>
      </c>
      <c r="C23" s="170"/>
      <c r="D23" s="99" t="s">
        <v>4517</v>
      </c>
      <c r="G23" s="169"/>
      <c r="H23" s="169"/>
      <c r="I23" s="169"/>
      <c r="J23" s="169"/>
      <c r="K23" s="169"/>
      <c r="L23" s="169"/>
      <c r="M23" s="41"/>
      <c r="N23" s="41"/>
      <c r="O23" s="169"/>
      <c r="P23" s="169"/>
      <c r="Q23" s="169"/>
      <c r="R23" s="169"/>
      <c r="S23" s="169"/>
    </row>
    <row r="24" spans="1:19">
      <c r="A24" s="99"/>
      <c r="B24" s="207"/>
      <c r="C24" s="170"/>
      <c r="D24" s="99" t="s">
        <v>4526</v>
      </c>
      <c r="G24" s="169"/>
      <c r="H24" s="169"/>
      <c r="I24" s="169"/>
      <c r="J24" s="169"/>
      <c r="K24" s="169" t="s">
        <v>25</v>
      </c>
      <c r="L24" s="169"/>
      <c r="M24" s="41"/>
      <c r="N24" s="41"/>
      <c r="O24" s="169"/>
      <c r="P24" s="169"/>
      <c r="Q24" s="169"/>
      <c r="R24" s="169"/>
      <c r="S24" s="169"/>
    </row>
    <row r="25" spans="1:19">
      <c r="A25" s="99" t="s">
        <v>4549</v>
      </c>
      <c r="B25" s="207"/>
      <c r="C25" s="170">
        <v>3421299</v>
      </c>
      <c r="D25" s="99" t="s">
        <v>4232</v>
      </c>
      <c r="G25" s="169"/>
      <c r="H25" s="169"/>
      <c r="I25" s="169"/>
      <c r="J25" s="169"/>
      <c r="K25" s="169"/>
      <c r="L25" s="169"/>
      <c r="M25" s="41"/>
      <c r="N25" s="41"/>
      <c r="O25" s="169"/>
      <c r="P25" s="169"/>
      <c r="Q25" s="169"/>
      <c r="R25" s="169"/>
      <c r="S25" s="169"/>
    </row>
    <row r="26" spans="1:19">
      <c r="A26" s="99" t="s">
        <v>4581</v>
      </c>
      <c r="B26" s="207"/>
      <c r="C26" s="170">
        <v>3490000</v>
      </c>
      <c r="D26" s="99" t="s">
        <v>4232</v>
      </c>
    </row>
    <row r="27" spans="1:19">
      <c r="A27" s="99" t="s">
        <v>4582</v>
      </c>
      <c r="B27" s="207"/>
      <c r="C27" s="170">
        <v>271000</v>
      </c>
      <c r="D27" s="99" t="s">
        <v>4578</v>
      </c>
    </row>
    <row r="28" spans="1:19">
      <c r="A28" s="99" t="s">
        <v>4592</v>
      </c>
      <c r="B28" s="207"/>
      <c r="C28" s="170">
        <v>69700</v>
      </c>
      <c r="D28" s="99" t="s">
        <v>4583</v>
      </c>
      <c r="I28" t="s">
        <v>25</v>
      </c>
      <c r="K28">
        <f>K20/K21</f>
        <v>1.0763394194208415</v>
      </c>
    </row>
    <row r="29" spans="1:19">
      <c r="A29" s="99"/>
      <c r="B29" s="207"/>
      <c r="C29" s="170"/>
      <c r="D29" s="99"/>
    </row>
    <row r="30" spans="1:19">
      <c r="A30" s="99"/>
      <c r="B30" s="207"/>
      <c r="C30" s="170"/>
      <c r="D30" s="99"/>
    </row>
    <row r="31" spans="1:19">
      <c r="A31" s="99"/>
      <c r="B31" s="207"/>
      <c r="C31" s="170"/>
      <c r="D31" s="99"/>
    </row>
    <row r="32" spans="1:19">
      <c r="A32" s="99"/>
      <c r="B32" s="170"/>
      <c r="C32" s="170"/>
      <c r="D32" s="99"/>
    </row>
    <row r="33" spans="2:13">
      <c r="B33" s="58"/>
      <c r="C33" s="58"/>
      <c r="D33" s="115"/>
    </row>
    <row r="34" spans="2:13">
      <c r="B34" t="s">
        <v>25</v>
      </c>
    </row>
    <row r="35" spans="2:13">
      <c r="B35" s="114">
        <f>SUM(C15:C32)-SUM(B15:B32)</f>
        <v>3109999</v>
      </c>
      <c r="C35" t="s">
        <v>916</v>
      </c>
    </row>
    <row r="38" spans="2:13">
      <c r="I38" s="41"/>
      <c r="J38" s="41"/>
      <c r="K38" s="41"/>
      <c r="L38" s="41"/>
      <c r="M38" s="41"/>
    </row>
    <row r="41" spans="2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25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2019-01-08T15:59:55Z</dcterms:modified>
</cp:coreProperties>
</file>