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G29" i="33" l="1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F2" i="33"/>
  <c r="E2" i="33"/>
  <c r="D2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N25" i="18" l="1"/>
  <c r="AA16" i="32"/>
  <c r="AA15" i="32"/>
  <c r="Z15" i="32"/>
  <c r="I56" i="32"/>
  <c r="L56" i="32" s="1"/>
  <c r="X25" i="32"/>
  <c r="AA8" i="32"/>
  <c r="AA7" i="32"/>
  <c r="AA4" i="32"/>
  <c r="K41" i="32"/>
  <c r="M41" i="32"/>
  <c r="M29" i="32"/>
  <c r="Q29" i="32" s="1"/>
  <c r="K29" i="32"/>
  <c r="P29" i="32" l="1"/>
  <c r="N28" i="18"/>
  <c r="X15" i="33" l="1"/>
  <c r="S29" i="32" l="1"/>
  <c r="S58" i="32"/>
  <c r="S59" i="32"/>
  <c r="S60" i="32"/>
  <c r="S61" i="32"/>
  <c r="S62" i="32"/>
  <c r="S63" i="32"/>
  <c r="S64" i="32"/>
  <c r="S65" i="32"/>
  <c r="S66" i="32"/>
  <c r="S67" i="32"/>
  <c r="AA5" i="32"/>
  <c r="AA6" i="32" s="1"/>
  <c r="X28" i="33"/>
  <c r="I25" i="33" l="1"/>
  <c r="Z24" i="33"/>
  <c r="I2" i="33"/>
  <c r="I40" i="32" l="1"/>
  <c r="K29" i="33"/>
  <c r="K26" i="33"/>
  <c r="K24" i="33"/>
  <c r="K17" i="33"/>
  <c r="K27" i="33"/>
  <c r="K19" i="33"/>
  <c r="K20" i="33"/>
  <c r="K21" i="33"/>
  <c r="K22" i="33"/>
  <c r="K23" i="33"/>
  <c r="K18" i="33"/>
  <c r="AA2" i="33" l="1"/>
  <c r="T2" i="33" s="1"/>
  <c r="I29" i="33"/>
  <c r="I28" i="33"/>
  <c r="I26" i="33"/>
  <c r="I16" i="33"/>
  <c r="I15" i="33"/>
  <c r="I14" i="33"/>
  <c r="I13" i="33"/>
  <c r="I11" i="33"/>
  <c r="I10" i="33"/>
  <c r="I9" i="33"/>
  <c r="I7" i="33"/>
  <c r="I5" i="33"/>
  <c r="I24" i="33"/>
  <c r="I27" i="33"/>
  <c r="M27" i="33" s="1"/>
  <c r="I12" i="33"/>
  <c r="I8" i="33"/>
  <c r="I6" i="33"/>
  <c r="I4" i="33"/>
  <c r="I3" i="33"/>
  <c r="I23" i="33"/>
  <c r="I22" i="33"/>
  <c r="I21" i="33"/>
  <c r="I20" i="33"/>
  <c r="I19" i="33"/>
  <c r="I18" i="33"/>
  <c r="I17" i="33"/>
  <c r="P9" i="33" l="1"/>
  <c r="M24" i="33"/>
  <c r="P17" i="33"/>
  <c r="P15" i="33"/>
  <c r="M15" i="33"/>
  <c r="M17" i="33"/>
  <c r="P2" i="33"/>
  <c r="M2" i="33"/>
  <c r="P5" i="33"/>
  <c r="M5" i="33"/>
  <c r="P16" i="33"/>
  <c r="M16" i="33"/>
  <c r="P3" i="33"/>
  <c r="M3" i="33"/>
  <c r="P4" i="33"/>
  <c r="M4" i="33"/>
  <c r="P25" i="33"/>
  <c r="M25" i="33"/>
  <c r="P26" i="33"/>
  <c r="M26" i="33"/>
  <c r="M9" i="33"/>
  <c r="P29" i="33"/>
  <c r="M29" i="33"/>
  <c r="P22" i="33"/>
  <c r="M22" i="33"/>
  <c r="P13" i="33"/>
  <c r="M13" i="33"/>
  <c r="P24" i="33"/>
  <c r="P18" i="33"/>
  <c r="M18" i="33"/>
  <c r="P7" i="33"/>
  <c r="M7" i="33"/>
  <c r="P19" i="33"/>
  <c r="M19" i="33"/>
  <c r="P28" i="33"/>
  <c r="M28" i="33"/>
  <c r="P20" i="33"/>
  <c r="M20" i="33"/>
  <c r="P6" i="33"/>
  <c r="M6" i="33"/>
  <c r="P10" i="33"/>
  <c r="M10" i="33"/>
  <c r="P21" i="33"/>
  <c r="M21" i="33"/>
  <c r="P8" i="33"/>
  <c r="M8" i="33"/>
  <c r="P11" i="33"/>
  <c r="M11" i="33"/>
  <c r="P12" i="33"/>
  <c r="M12" i="33"/>
  <c r="P23" i="33"/>
  <c r="M23" i="33"/>
  <c r="P14" i="33"/>
  <c r="M14" i="33"/>
  <c r="P2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43" i="32"/>
  <c r="Q43" i="32" s="1"/>
  <c r="K43" i="32"/>
  <c r="S43" i="32" s="1"/>
  <c r="K42" i="32"/>
  <c r="S42" i="32" s="1"/>
  <c r="I42" i="32"/>
  <c r="L4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6" i="32"/>
  <c r="S56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4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X32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9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T5" i="33"/>
  <c r="AD5" i="32" l="1"/>
  <c r="AB7" i="32"/>
  <c r="AB6" i="32"/>
  <c r="AE4" i="32"/>
  <c r="AF5" i="32"/>
  <c r="T44" i="33"/>
  <c r="T28" i="33"/>
  <c r="T20" i="33"/>
  <c r="T12" i="33"/>
  <c r="T3" i="33"/>
  <c r="T43" i="33"/>
  <c r="T35" i="33"/>
  <c r="T27" i="33"/>
  <c r="T19" i="33"/>
  <c r="T11" i="33"/>
  <c r="V2" i="33"/>
  <c r="T42" i="33"/>
  <c r="T34" i="33"/>
  <c r="T26" i="33"/>
  <c r="T18" i="33"/>
  <c r="T10" i="33"/>
  <c r="T49" i="33"/>
  <c r="T41" i="33"/>
  <c r="T33" i="33"/>
  <c r="T25" i="33"/>
  <c r="T17" i="33"/>
  <c r="T9" i="33"/>
  <c r="T48" i="33"/>
  <c r="T40" i="33"/>
  <c r="T32" i="33"/>
  <c r="T24" i="33"/>
  <c r="T16" i="33"/>
  <c r="T8" i="33"/>
  <c r="T7" i="33"/>
  <c r="T36" i="33"/>
  <c r="T47" i="33"/>
  <c r="T39" i="33"/>
  <c r="T31" i="33"/>
  <c r="T23" i="33"/>
  <c r="T15" i="33"/>
  <c r="T4" i="33"/>
  <c r="T46" i="33"/>
  <c r="T38" i="33"/>
  <c r="T30" i="33"/>
  <c r="T22" i="33"/>
  <c r="T14" i="33"/>
  <c r="T6" i="33"/>
  <c r="T45" i="33"/>
  <c r="T37" i="33"/>
  <c r="T29" i="33"/>
  <c r="T21" i="33"/>
  <c r="T13" i="33"/>
  <c r="U1" i="33"/>
  <c r="U2" i="33" s="1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V3" i="33"/>
  <c r="V4" i="33" s="1"/>
  <c r="V5" i="33" s="1"/>
  <c r="V6" i="33" s="1"/>
  <c r="U34" i="33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V7" i="33"/>
  <c r="V8" i="33" s="1"/>
  <c r="V9" i="33" s="1"/>
  <c r="V10" i="33" s="1"/>
  <c r="V11" i="33" s="1"/>
  <c r="V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V13" i="33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F190" i="15"/>
  <c r="F189" i="15"/>
  <c r="F188" i="15"/>
  <c r="P69" i="32"/>
  <c r="F186" i="15"/>
  <c r="Q69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7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<sst xmlns="http://schemas.openxmlformats.org/spreadsheetml/2006/main" count="2675" uniqueCount="1109">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</sst>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1076</v>
      </c>
      <c r="B6" s="18">
        <v>0</v>
      </c>
      <c r="C6" s="18">
        <v>0</v>
      </c>
      <c r="D6" s="3">
        <f t="shared" si="0"/>
        <v>0</v>
      </c>
      <c r="E6" s="19" t="s">
        <v>1078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1094</v>
      </c>
      <c r="G31" s="9" t="s">
        <v>1079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1095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1046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1076</v>
      </c>
      <c r="B148" s="18">
        <v>252436</v>
      </c>
      <c r="C148" s="18">
        <v>65510</v>
      </c>
      <c r="D148" s="18">
        <f t="shared" si="12"/>
        <v>186926</v>
      </c>
      <c r="E148" s="11" t="s">
        <v>1078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1052</v>
      </c>
      <c r="B103" s="38">
        <v>295500</v>
      </c>
      <c r="C103" s="73" t="s">
        <v>1053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1046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1050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1057</v>
      </c>
      <c r="B108" s="38">
        <v>3000000</v>
      </c>
      <c r="C108" s="73" t="s">
        <v>1067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1068</v>
      </c>
      <c r="B109" s="38">
        <v>2000000</v>
      </c>
      <c r="C109" s="73" t="s">
        <v>1067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1068</v>
      </c>
      <c r="B110" s="38">
        <v>-5000000</v>
      </c>
      <c r="C110" s="73" t="s">
        <v>1046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1076</v>
      </c>
      <c r="B111" s="38">
        <v>412668</v>
      </c>
      <c r="C111" s="73" t="s">
        <v>1077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1047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1076</v>
      </c>
      <c r="B6" s="18">
        <v>252436</v>
      </c>
      <c r="C6" s="18">
        <v>65510</v>
      </c>
      <c r="D6" s="3">
        <f t="shared" si="0"/>
        <v>186926</v>
      </c>
      <c r="E6" s="19" t="s">
        <v>1078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1045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1066</v>
      </c>
    </row>
    <row r="36" spans="4:17" x14ac:dyDescent="0.25">
      <c r="D36" s="42">
        <v>245000</v>
      </c>
      <c r="E36" s="41" t="s">
        <v>1066</v>
      </c>
    </row>
    <row r="37" spans="4:17" x14ac:dyDescent="0.25">
      <c r="D37" s="7">
        <v>-25000</v>
      </c>
      <c r="E37" s="41" t="s">
        <v>1070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zoomScaleNormal="100" workbookViewId="0">
      <pane ySplit="1" topLeftCell="A32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6.14062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1054</v>
      </c>
      <c r="R1" s="11" t="s">
        <v>983</v>
      </c>
      <c r="S1" s="74" t="s">
        <v>1072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1060</v>
      </c>
      <c r="AD3" s="82" t="s">
        <v>1061</v>
      </c>
      <c r="AE3" s="82" t="s">
        <v>1062</v>
      </c>
      <c r="AF3" s="82" t="s">
        <v>1063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14</v>
      </c>
      <c r="AB4" s="85">
        <f t="shared" ref="AB4:AB10" si="2">W4*AA4*$AB$2/(365*100)</f>
        <v>679287.67123287672</v>
      </c>
      <c r="AC4" s="85">
        <f>AB4</f>
        <v>679287.67123287672</v>
      </c>
      <c r="AD4" s="85">
        <v>0</v>
      </c>
      <c r="AE4" s="85">
        <f>Y4+AC4</f>
        <v>81179287.671232879</v>
      </c>
      <c r="AF4" s="85">
        <f>Z4+AD4</f>
        <v>0</v>
      </c>
      <c r="AG4" s="86">
        <f t="shared" ref="AG4:AG9" si="3">W4+AB4</f>
        <v>81179287.671232879</v>
      </c>
    </row>
    <row r="5" spans="1:33" x14ac:dyDescent="0.25">
      <c r="A5" s="79" t="s">
        <v>1057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1043</v>
      </c>
      <c r="Y5" s="85">
        <v>0</v>
      </c>
      <c r="Z5" s="86">
        <f t="shared" ref="Z5:Z8" si="4">W5-Y5</f>
        <v>87000000</v>
      </c>
      <c r="AA5" s="82">
        <f>AA4-4</f>
        <v>10</v>
      </c>
      <c r="AB5" s="85">
        <f t="shared" si="2"/>
        <v>524383.56164383562</v>
      </c>
      <c r="AC5" s="85">
        <v>0</v>
      </c>
      <c r="AD5" s="85">
        <f>AB5</f>
        <v>524383.56164383562</v>
      </c>
      <c r="AE5" s="85">
        <f t="shared" ref="AE5:AE11" si="5">Y5+AC5</f>
        <v>0</v>
      </c>
      <c r="AF5" s="85">
        <f t="shared" ref="AF5:AF11" si="6">Z5+AD5</f>
        <v>87524383.561643839</v>
      </c>
      <c r="AG5" s="86">
        <f t="shared" si="3"/>
        <v>87524383.561643839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1057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9</v>
      </c>
      <c r="AB6" s="85">
        <f t="shared" si="2"/>
        <v>5967.1232876712329</v>
      </c>
      <c r="AC6" s="85">
        <f>AB6</f>
        <v>5967.1232876712329</v>
      </c>
      <c r="AD6" s="85">
        <v>0</v>
      </c>
      <c r="AE6" s="85">
        <f t="shared" si="5"/>
        <v>1105967.1232876712</v>
      </c>
      <c r="AF6" s="85">
        <f t="shared" si="6"/>
        <v>0</v>
      </c>
      <c r="AG6" s="86">
        <f t="shared" si="3"/>
        <v>1105967.1232876712</v>
      </c>
    </row>
    <row r="7" spans="1:33" x14ac:dyDescent="0.25">
      <c r="A7" s="76" t="s">
        <v>1068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1068</v>
      </c>
      <c r="V7" s="82" t="s">
        <v>962</v>
      </c>
      <c r="W7" s="85">
        <v>10000000</v>
      </c>
      <c r="X7" s="82" t="s">
        <v>1071</v>
      </c>
      <c r="Y7" s="85">
        <v>5000000</v>
      </c>
      <c r="Z7" s="86">
        <f t="shared" si="4"/>
        <v>5000000</v>
      </c>
      <c r="AA7" s="82">
        <f>AA6-1</f>
        <v>8</v>
      </c>
      <c r="AB7" s="85">
        <f t="shared" si="2"/>
        <v>48219.178082191778</v>
      </c>
      <c r="AC7" s="85">
        <f>AB7/2</f>
        <v>24109.589041095889</v>
      </c>
      <c r="AD7" s="85">
        <f>AB7-AC7</f>
        <v>24109.589041095889</v>
      </c>
      <c r="AE7" s="85">
        <f t="shared" si="5"/>
        <v>5024109.5890410962</v>
      </c>
      <c r="AF7" s="85">
        <f t="shared" si="6"/>
        <v>5024109.5890410962</v>
      </c>
      <c r="AG7" s="86">
        <f t="shared" si="3"/>
        <v>10048219.178082192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1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1068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1044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1257857.5342465756</v>
      </c>
      <c r="AC12" s="86">
        <f>SUM(AC4:AC10)</f>
        <v>709364.38356164389</v>
      </c>
      <c r="AD12" s="86">
        <f>SUM(AD4:AD10)</f>
        <v>548493.15068493155</v>
      </c>
      <c r="AE12" s="86">
        <f>SUM(AE4:AE11)</f>
        <v>87309364.383561656</v>
      </c>
      <c r="AF12" s="86">
        <f>SUM(AF4:AF11)</f>
        <v>92548493.150684938</v>
      </c>
      <c r="AG12" s="86">
        <f>SUM(AG4:AG10)</f>
        <v>179857857.53424659</v>
      </c>
    </row>
    <row r="13" spans="1:33" x14ac:dyDescent="0.25">
      <c r="A13" s="79" t="s">
        <v>960</v>
      </c>
      <c r="B13" s="79" t="s">
        <v>1044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1064</v>
      </c>
      <c r="Z15" s="7">
        <f>Z12+Q69</f>
        <v>93896004</v>
      </c>
      <c r="AA15" s="7">
        <f>Y12+P69</f>
        <v>89897288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1065</v>
      </c>
      <c r="Z16" s="7">
        <f>Z15-AF12</f>
        <v>1347510.8493150622</v>
      </c>
      <c r="AA16" s="7">
        <f>AA15-AE12</f>
        <v>2587923.6164383441</v>
      </c>
    </row>
    <row r="17" spans="1:30" x14ac:dyDescent="0.25">
      <c r="A17" s="79" t="s">
        <v>1068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1098</v>
      </c>
      <c r="Z18">
        <v>8</v>
      </c>
    </row>
    <row r="19" spans="1:30" x14ac:dyDescent="0.25">
      <c r="A19" s="76" t="s">
        <v>1068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1099</v>
      </c>
      <c r="Z19">
        <v>6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1068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984</v>
      </c>
      <c r="X22" s="11" t="s">
        <v>182</v>
      </c>
    </row>
    <row r="23" spans="1:30" x14ac:dyDescent="0.25">
      <c r="A23" s="76" t="s">
        <v>1068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985</v>
      </c>
      <c r="X23" s="3">
        <v>12899899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1068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 t="s">
        <v>991</v>
      </c>
      <c r="X25" s="3">
        <f>C56*R56*(1-J57/100)</f>
        <v>162711948.25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1068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1" t="s">
        <v>960</v>
      </c>
      <c r="B28" s="91" t="s">
        <v>987</v>
      </c>
      <c r="C28" s="91">
        <v>100</v>
      </c>
      <c r="D28" s="91" t="s">
        <v>61</v>
      </c>
      <c r="E28" s="92">
        <v>97875</v>
      </c>
      <c r="F28" s="92">
        <v>10210616</v>
      </c>
      <c r="G28" s="91">
        <v>8</v>
      </c>
      <c r="H28" s="91">
        <v>21</v>
      </c>
      <c r="I28" s="92">
        <f>F28*G28*($AB$2-H28)/(36500)</f>
        <v>2237.9432328767125</v>
      </c>
      <c r="J28" s="91">
        <v>7.2499999999999995E-2</v>
      </c>
      <c r="K28" s="92">
        <f>C28*E28*J28/100</f>
        <v>7095.9375</v>
      </c>
      <c r="L28" s="91">
        <f>(E28*(1+J28/100)+I28/C28)/(1-J29/100)-(S28/C28)*(G28/365)*($AB$2/100)</f>
        <v>98059.477530412303</v>
      </c>
      <c r="M28" s="91"/>
      <c r="N28" s="91"/>
      <c r="O28" s="91"/>
      <c r="P28" s="91"/>
      <c r="Q28" s="91"/>
      <c r="R28" s="92"/>
      <c r="S28" s="92">
        <f t="shared" ref="S28" si="37">C28*E28+K28-F28</f>
        <v>-416020.0625</v>
      </c>
      <c r="W28" s="11" t="s">
        <v>1073</v>
      </c>
      <c r="X28" s="3">
        <v>8812000</v>
      </c>
    </row>
    <row r="29" spans="1:30" x14ac:dyDescent="0.25">
      <c r="A29" s="91" t="s">
        <v>1108</v>
      </c>
      <c r="B29" s="91" t="s">
        <v>987</v>
      </c>
      <c r="C29" s="91">
        <v>100</v>
      </c>
      <c r="D29" s="91" t="s">
        <v>976</v>
      </c>
      <c r="E29" s="92">
        <v>99999</v>
      </c>
      <c r="F29" s="92">
        <v>10456533</v>
      </c>
      <c r="G29" s="91"/>
      <c r="H29" s="91"/>
      <c r="I29" s="92">
        <f>F29*G29*($AB$2-H29)/(36500)</f>
        <v>0</v>
      </c>
      <c r="J29" s="91">
        <v>7.2499999999999995E-2</v>
      </c>
      <c r="K29" s="92">
        <f t="shared" ref="K29" si="38">C29*E29*J29/100</f>
        <v>7249.9274999999998</v>
      </c>
      <c r="L29" s="91">
        <v>16</v>
      </c>
      <c r="M29" s="92">
        <f>F29-F28</f>
        <v>245917</v>
      </c>
      <c r="N29" s="91">
        <v>50</v>
      </c>
      <c r="O29" s="91">
        <v>50</v>
      </c>
      <c r="P29" s="92">
        <f t="shared" ref="P29" si="39">M29*N29/C28</f>
        <v>122958.5</v>
      </c>
      <c r="Q29" s="92">
        <f t="shared" ref="Q29" si="40">M29*O29/C28</f>
        <v>122958.5</v>
      </c>
      <c r="R29" s="91"/>
      <c r="S29" s="92">
        <f t="shared" ref="S29" si="41">-C29*E29+K29+F29</f>
        <v>463882.92750000022</v>
      </c>
      <c r="W29" s="11"/>
      <c r="X29" s="11"/>
    </row>
    <row r="30" spans="1:30" x14ac:dyDescent="0.25">
      <c r="A30" s="79" t="s">
        <v>1057</v>
      </c>
      <c r="B30" s="79" t="s">
        <v>1044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11"/>
    </row>
    <row r="31" spans="1:30" x14ac:dyDescent="0.25">
      <c r="A31" s="79" t="s">
        <v>1057</v>
      </c>
      <c r="B31" s="79" t="s">
        <v>1044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11"/>
    </row>
    <row r="32" spans="1:30" x14ac:dyDescent="0.25">
      <c r="A32" s="76" t="s">
        <v>1057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29">
        <f>SUM(X23:X31)</f>
        <v>184423847.25</v>
      </c>
    </row>
    <row r="33" spans="1:24" x14ac:dyDescent="0.25">
      <c r="A33" s="76" t="s">
        <v>1057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11"/>
    </row>
    <row r="34" spans="1:24" x14ac:dyDescent="0.25">
      <c r="A34" s="79" t="s">
        <v>1057</v>
      </c>
      <c r="B34" s="79" t="s">
        <v>1044</v>
      </c>
      <c r="C34" s="79">
        <v>140</v>
      </c>
      <c r="D34" s="79" t="s">
        <v>1059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980</v>
      </c>
      <c r="X34" s="29">
        <f>X32-AG12</f>
        <v>4565989.7157534063</v>
      </c>
    </row>
    <row r="35" spans="1:24" x14ac:dyDescent="0.25">
      <c r="A35" s="79" t="s">
        <v>1057</v>
      </c>
      <c r="B35" s="79" t="s">
        <v>1044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1068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1068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1068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1068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1068</v>
      </c>
      <c r="B40" s="76" t="s">
        <v>965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1108</v>
      </c>
      <c r="B41" s="76" t="s">
        <v>965</v>
      </c>
      <c r="C41" s="76">
        <v>8</v>
      </c>
      <c r="D41" s="76" t="s">
        <v>976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7">
        <v>0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4"/>
        <v>0</v>
      </c>
      <c r="L42" s="79">
        <f t="shared" ref="L42:L54" si="50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1">C42*E42+K42-F42</f>
        <v>0</v>
      </c>
    </row>
    <row r="43" spans="1:24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4"/>
        <v>0</v>
      </c>
      <c r="L43" s="79">
        <v>20</v>
      </c>
      <c r="M43" s="81">
        <f t="shared" ref="M43" si="52">F43-F42</f>
        <v>0</v>
      </c>
      <c r="N43" s="79">
        <v>50</v>
      </c>
      <c r="O43" s="79">
        <v>50</v>
      </c>
      <c r="P43" s="81">
        <f t="shared" ref="P43" si="53">M43*N43/C42</f>
        <v>0</v>
      </c>
      <c r="Q43" s="81">
        <f t="shared" ref="Q43" si="54">M43*O43/C42</f>
        <v>0</v>
      </c>
      <c r="R43" s="79"/>
      <c r="S43" s="80">
        <f t="shared" ref="S43" si="55">-C43*E43+K43+F43</f>
        <v>0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6">(E52*(1+J52/100)+I52/C52)/(1-J53/100)</f>
        <v>0</v>
      </c>
      <c r="M52" s="78"/>
      <c r="N52" s="76"/>
      <c r="O52" s="76"/>
      <c r="P52" s="78"/>
      <c r="Q52" s="78"/>
      <c r="R52" s="76"/>
      <c r="S52" s="90">
        <f t="shared" ref="S52" si="57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8">F53-F52</f>
        <v>0</v>
      </c>
      <c r="N53" s="76">
        <v>50</v>
      </c>
      <c r="O53" s="76">
        <v>50</v>
      </c>
      <c r="P53" s="78">
        <f t="shared" ref="P53" si="59">M53*N53/C52</f>
        <v>0</v>
      </c>
      <c r="Q53" s="78">
        <f t="shared" ref="Q53" si="60">M53*O53/C52</f>
        <v>0</v>
      </c>
      <c r="R53" s="76"/>
      <c r="S53" s="90">
        <f t="shared" ref="S53" si="61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si="50"/>
        <v>0</v>
      </c>
      <c r="M54" s="79"/>
      <c r="N54" s="79"/>
      <c r="O54" s="79"/>
      <c r="P54" s="79"/>
      <c r="Q54" s="79"/>
      <c r="R54" s="79"/>
      <c r="S54" s="80">
        <f t="shared" ref="S54" si="62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3">F55-F54</f>
        <v>0</v>
      </c>
      <c r="N55" s="79">
        <v>50</v>
      </c>
      <c r="O55" s="79">
        <v>50</v>
      </c>
      <c r="P55" s="79">
        <f t="shared" ref="P55" si="64">M55*N55/C54</f>
        <v>0</v>
      </c>
      <c r="Q55" s="79">
        <f t="shared" ref="Q55" si="65">M55*O55/C54</f>
        <v>0</v>
      </c>
      <c r="R55" s="79"/>
      <c r="S55" s="80">
        <f t="shared" ref="S55" si="66">-C55*E55+K55+F55</f>
        <v>0</v>
      </c>
    </row>
    <row r="56" spans="1:20" x14ac:dyDescent="0.25">
      <c r="A56" s="83" t="s">
        <v>1068</v>
      </c>
      <c r="B56" s="83" t="s">
        <v>991</v>
      </c>
      <c r="C56" s="83">
        <v>1900</v>
      </c>
      <c r="D56" s="83" t="s">
        <v>61</v>
      </c>
      <c r="E56" s="84">
        <v>85537</v>
      </c>
      <c r="F56" s="84">
        <v>170893386</v>
      </c>
      <c r="G56" s="83">
        <v>8</v>
      </c>
      <c r="H56" s="83">
        <v>15</v>
      </c>
      <c r="I56" s="84">
        <f>F56*G56*($AB$2-H56)/(36500)</f>
        <v>262192.5922191781</v>
      </c>
      <c r="J56" s="83">
        <v>7.2499999999999995E-2</v>
      </c>
      <c r="K56" s="84">
        <f>C56*E56*J56/100</f>
        <v>117827.2175</v>
      </c>
      <c r="L56" s="84">
        <f>(E56*(1+J56/100)+I56/C56)/(1-J57/100)-(S56/C56)*(G56/365)*($AB$2/100)</f>
        <v>85820.1654776418</v>
      </c>
      <c r="M56" s="83"/>
      <c r="N56" s="83"/>
      <c r="O56" s="83"/>
      <c r="P56" s="83"/>
      <c r="Q56" s="83"/>
      <c r="R56" s="84">
        <v>85700</v>
      </c>
      <c r="S56" s="14">
        <f>C56*E56+K56-F56</f>
        <v>-8255258.7824999988</v>
      </c>
      <c r="T56" t="s">
        <v>25</v>
      </c>
    </row>
    <row r="57" spans="1:20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>
        <v>7.2499999999999995E-2</v>
      </c>
      <c r="K57" s="83"/>
      <c r="L57" s="83"/>
      <c r="M57" s="83"/>
      <c r="N57" s="83">
        <v>950</v>
      </c>
      <c r="O57" s="83">
        <v>950</v>
      </c>
      <c r="P57" s="83"/>
      <c r="Q57" s="83"/>
      <c r="R57" s="83"/>
      <c r="S57" s="14">
        <v>8812200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67">C58*E58+K58-F58</f>
        <v>0</v>
      </c>
    </row>
    <row r="59" spans="1:20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68">-C59*E59+K59+F59</f>
        <v>0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9">C60*E60+K60-F60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70">-C61*E61+K61+F61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71">C62*E62+K62-F62</f>
        <v>0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72">-C63*E63+K63+F63</f>
        <v>0</v>
      </c>
    </row>
    <row r="64" spans="1:20" x14ac:dyDescent="0.25">
      <c r="A64" s="83"/>
      <c r="B64" s="83"/>
      <c r="C64" s="83"/>
      <c r="D64" s="83"/>
      <c r="E64" s="83"/>
      <c r="F64" s="83"/>
      <c r="G64" s="83"/>
      <c r="H64" s="83"/>
      <c r="I64" s="84" t="s">
        <v>25</v>
      </c>
      <c r="J64" s="83"/>
      <c r="K64" s="83"/>
      <c r="L64" s="83"/>
      <c r="M64" s="83"/>
      <c r="N64" s="83"/>
      <c r="O64" s="83"/>
      <c r="P64" s="83"/>
      <c r="Q64" s="83"/>
      <c r="R64" s="83"/>
      <c r="S64" s="14">
        <f t="shared" ref="S64" si="73">C64*E64+K64-F64</f>
        <v>0</v>
      </c>
    </row>
    <row r="65" spans="1:19" x14ac:dyDescent="0.25">
      <c r="A65" s="83"/>
      <c r="B65" s="83"/>
      <c r="C65" s="83"/>
      <c r="D65" s="83"/>
      <c r="E65" s="83"/>
      <c r="F65" s="83"/>
      <c r="G65" s="83"/>
      <c r="H65" s="83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14">
        <f t="shared" ref="S65" si="74">-C65*E65+K65+F65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14">
        <f t="shared" ref="S66" si="75">C66*E66+K66-F66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14">
        <f t="shared" ref="S67" si="76">-C67*E67+K67+F67</f>
        <v>0</v>
      </c>
    </row>
    <row r="68" spans="1:19" x14ac:dyDescent="0.25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2"/>
      <c r="O68" s="82"/>
      <c r="P68" s="11"/>
      <c r="Q68" s="11"/>
      <c r="R68" s="11"/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>
        <f>SUM(M2:M67)</f>
        <v>5193292</v>
      </c>
      <c r="N69" s="11"/>
      <c r="O69" s="11"/>
      <c r="P69" s="3">
        <f>SUM(P2:P68)</f>
        <v>3297288</v>
      </c>
      <c r="Q69" s="3">
        <f>SUM(Q3:Q68)</f>
        <v>1896004</v>
      </c>
      <c r="R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191</v>
      </c>
      <c r="N70" s="11"/>
      <c r="O70" s="11"/>
      <c r="P70" s="11" t="s">
        <v>1055</v>
      </c>
      <c r="Q70" s="11" t="s">
        <v>1056</v>
      </c>
      <c r="R70" s="11"/>
      <c r="S70" t="s">
        <v>25</v>
      </c>
    </row>
    <row r="71" spans="1:19" x14ac:dyDescent="0.25">
      <c r="A71" s="25"/>
    </row>
    <row r="72" spans="1:19" x14ac:dyDescent="0.25">
      <c r="A72" s="25"/>
    </row>
    <row r="73" spans="1:19" x14ac:dyDescent="0.25">
      <c r="F73" s="7"/>
    </row>
    <row r="84" spans="4:14" x14ac:dyDescent="0.25">
      <c r="D84" t="s">
        <v>25</v>
      </c>
    </row>
    <row r="85" spans="4:14" x14ac:dyDescent="0.25">
      <c r="G85" s="25"/>
    </row>
    <row r="86" spans="4:14" x14ac:dyDescent="0.25">
      <c r="I86" s="25"/>
    </row>
    <row r="87" spans="4:14" x14ac:dyDescent="0.25">
      <c r="I87" s="25"/>
    </row>
    <row r="88" spans="4:14" x14ac:dyDescent="0.25">
      <c r="I88" s="28"/>
    </row>
    <row r="91" spans="4:14" x14ac:dyDescent="0.25">
      <c r="N91" s="25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5"/>
  <sheetViews>
    <sheetView zoomScaleNormal="100" workbookViewId="0">
      <selection activeCell="X3" sqref="X3"/>
    </sheetView>
  </sheetViews>
  <sheetFormatPr defaultRowHeight="15" x14ac:dyDescent="0.25"/>
  <cols>
    <col min="2" max="2" width="12.42578125" bestFit="1" customWidth="1"/>
    <col min="3" max="5" width="12.42578125" customWidth="1"/>
    <col min="6" max="7" width="12.42578125" bestFit="1" customWidth="1"/>
    <col min="8" max="9" width="12.42578125" customWidth="1"/>
    <col min="11" max="11" width="9" bestFit="1" customWidth="1"/>
    <col min="12" max="12" width="10.85546875" bestFit="1" customWidth="1"/>
    <col min="13" max="13" width="17.5703125" bestFit="1" customWidth="1"/>
    <col min="14" max="15" width="12.42578125" bestFit="1" customWidth="1"/>
    <col min="16" max="17" width="26" bestFit="1" customWidth="1"/>
    <col min="19" max="22" width="12.42578125" bestFit="1" customWidth="1"/>
    <col min="23" max="23" width="11.42578125" bestFit="1" customWidth="1"/>
    <col min="24" max="24" width="18.85546875" bestFit="1" customWidth="1"/>
    <col min="25" max="25" width="15.140625" bestFit="1" customWidth="1"/>
    <col min="26" max="27" width="12.42578125" bestFit="1" customWidth="1"/>
    <col min="33" max="33" width="38.42578125" bestFit="1" customWidth="1"/>
    <col min="34" max="34" width="14.5703125" bestFit="1" customWidth="1"/>
  </cols>
  <sheetData>
    <row r="1" spans="1:34" x14ac:dyDescent="0.25">
      <c r="A1" s="11" t="s">
        <v>986</v>
      </c>
      <c r="B1" s="11">
        <v>21.4</v>
      </c>
      <c r="C1" s="11">
        <v>20</v>
      </c>
      <c r="D1" s="11">
        <v>19</v>
      </c>
      <c r="E1" s="11">
        <v>18</v>
      </c>
      <c r="F1" s="11">
        <v>17</v>
      </c>
      <c r="G1" s="11" t="s">
        <v>1093</v>
      </c>
      <c r="H1" s="11" t="s">
        <v>999</v>
      </c>
      <c r="I1" s="11" t="s">
        <v>1083</v>
      </c>
      <c r="J1" s="11" t="s">
        <v>1001</v>
      </c>
      <c r="K1" s="11" t="s">
        <v>1089</v>
      </c>
      <c r="L1" s="11" t="s">
        <v>1002</v>
      </c>
      <c r="M1" s="11" t="s">
        <v>1036</v>
      </c>
      <c r="N1" s="11" t="s">
        <v>1013</v>
      </c>
      <c r="O1" s="11" t="s">
        <v>968</v>
      </c>
      <c r="P1" s="69" t="s">
        <v>1088</v>
      </c>
      <c r="R1">
        <v>96</v>
      </c>
      <c r="S1">
        <v>12</v>
      </c>
      <c r="T1" s="3">
        <v>85500</v>
      </c>
      <c r="U1" s="3">
        <f>T1</f>
        <v>85500</v>
      </c>
      <c r="V1" s="3">
        <v>0</v>
      </c>
      <c r="X1" t="s">
        <v>982</v>
      </c>
      <c r="Y1" t="s">
        <v>1041</v>
      </c>
      <c r="Z1" t="s">
        <v>1042</v>
      </c>
      <c r="AD1">
        <v>0.88</v>
      </c>
      <c r="AE1" t="s">
        <v>1074</v>
      </c>
      <c r="AG1" t="s">
        <v>1084</v>
      </c>
      <c r="AH1" t="s">
        <v>1085</v>
      </c>
    </row>
    <row r="2" spans="1:34" x14ac:dyDescent="0.25">
      <c r="A2" s="11" t="s">
        <v>992</v>
      </c>
      <c r="B2" s="43">
        <f>$N2/(1+($X$2-$J2+$K2)/36500)^$I2</f>
        <v>92880.884569219415</v>
      </c>
      <c r="C2" s="43">
        <f>$N2/(1+($X$3-$J2+$K2)/36500)^$I2</f>
        <v>93330.59721888903</v>
      </c>
      <c r="D2" s="43">
        <f>$N2/(1+($X$4-$J2+$K2)/36500)^$I2</f>
        <v>93653.163662860577</v>
      </c>
      <c r="E2" s="43">
        <f>$N2/(1+($X$5-$J2+$K2)/36500)^$I2</f>
        <v>93976.853830202803</v>
      </c>
      <c r="F2" s="43">
        <f>$N2/(1+($X$6-$J2+$K2)/36500)^$I2</f>
        <v>94301.671666560418</v>
      </c>
      <c r="G2" s="43">
        <f>$N2/(1+($X$3-$J2+$K2)/36500)^$I2</f>
        <v>93330.59721888903</v>
      </c>
      <c r="H2" s="11" t="s">
        <v>1022</v>
      </c>
      <c r="I2" s="20">
        <f>132-$Y$19</f>
        <v>126</v>
      </c>
      <c r="J2" s="11">
        <v>0</v>
      </c>
      <c r="K2" s="11">
        <v>0</v>
      </c>
      <c r="L2" s="11">
        <v>0</v>
      </c>
      <c r="M2" s="20">
        <f t="shared" ref="M2:M29" si="0">I2/30.5</f>
        <v>4.1311475409836067</v>
      </c>
      <c r="N2" s="3">
        <v>100000</v>
      </c>
      <c r="O2" s="3">
        <v>92020</v>
      </c>
      <c r="P2" s="3">
        <f t="shared" ref="P2:P29" si="1">B2*(1+$X$2/36500)^I2</f>
        <v>100000</v>
      </c>
      <c r="R2">
        <v>97</v>
      </c>
      <c r="S2">
        <v>1</v>
      </c>
      <c r="T2">
        <f>$AA$2</f>
        <v>1185</v>
      </c>
      <c r="U2" s="3">
        <f>U1*(1+($X$2+0.1875)/1200)</f>
        <v>87038.109374999985</v>
      </c>
      <c r="V2" s="3">
        <f t="shared" ref="V2:V49" si="2">T2+V1*(1+$X$2/1200)</f>
        <v>1185</v>
      </c>
      <c r="W2" t="s">
        <v>61</v>
      </c>
      <c r="X2">
        <v>21.4</v>
      </c>
      <c r="Y2">
        <v>14.22</v>
      </c>
      <c r="Z2" s="3">
        <v>100000</v>
      </c>
      <c r="AA2">
        <f>Z2*Y2/(100*12)</f>
        <v>1185</v>
      </c>
      <c r="AD2">
        <v>0.78</v>
      </c>
      <c r="AE2" t="s">
        <v>1075</v>
      </c>
    </row>
    <row r="3" spans="1:34" x14ac:dyDescent="0.25">
      <c r="A3" s="16" t="s">
        <v>993</v>
      </c>
      <c r="B3" s="14">
        <f t="shared" ref="B3:B29" si="3">$N3/(1+($X$2-$J3+$K3)/36500)^$I3</f>
        <v>90994.887757268749</v>
      </c>
      <c r="C3" s="14">
        <f t="shared" ref="C3:C29" si="4">$N3/(1+($X$3-$J3+$K3)/36500)^$I3</f>
        <v>91558.23049501855</v>
      </c>
      <c r="D3" s="14">
        <f t="shared" ref="D3:D29" si="5">$N3/(1+($X$4-$J3+$K3)/36500)^$I3</f>
        <v>91962.765503742819</v>
      </c>
      <c r="E3" s="14">
        <f t="shared" ref="E3:E29" si="6">$N3/(1+($X$5-$J3+$K3)/36500)^$I3</f>
        <v>92369.099035008287</v>
      </c>
      <c r="F3" s="14">
        <f t="shared" ref="F3:F29" si="7">$N3/(1+($X$6-$J3+$K3)/36500)^$I3</f>
        <v>92777.239134449046</v>
      </c>
      <c r="G3" s="14">
        <f t="shared" ref="G3:G29" si="8">$N3/(1+($X$3-$J3+$K3)/36500)^$I3</f>
        <v>91558.23049501855</v>
      </c>
      <c r="H3" s="16" t="s">
        <v>1023</v>
      </c>
      <c r="I3" s="16">
        <f>167-$Y$19</f>
        <v>161</v>
      </c>
      <c r="J3" s="16">
        <v>0</v>
      </c>
      <c r="K3" s="16">
        <v>0</v>
      </c>
      <c r="L3" s="16">
        <v>0</v>
      </c>
      <c r="M3" s="16">
        <f t="shared" si="0"/>
        <v>5.278688524590164</v>
      </c>
      <c r="N3" s="14">
        <v>100000</v>
      </c>
      <c r="O3" s="14">
        <v>90100</v>
      </c>
      <c r="P3" s="14">
        <f t="shared" si="1"/>
        <v>100000</v>
      </c>
      <c r="R3">
        <v>97</v>
      </c>
      <c r="S3">
        <v>2</v>
      </c>
      <c r="T3">
        <f t="shared" ref="T3" si="9">$AA$2</f>
        <v>1185</v>
      </c>
      <c r="U3" s="3">
        <f t="shared" ref="U3:U49" si="10">U2*(1+($X$2+0.1875)/1200)</f>
        <v>88603.888696777314</v>
      </c>
      <c r="V3" s="3">
        <f t="shared" si="2"/>
        <v>2391.1324999999997</v>
      </c>
      <c r="W3" t="s">
        <v>976</v>
      </c>
      <c r="X3">
        <v>20</v>
      </c>
    </row>
    <row r="4" spans="1:34" x14ac:dyDescent="0.25">
      <c r="A4" s="11" t="s">
        <v>994</v>
      </c>
      <c r="B4" s="43">
        <f t="shared" si="3"/>
        <v>89461.249866371683</v>
      </c>
      <c r="C4" s="43">
        <f t="shared" si="4"/>
        <v>90115.223238755789</v>
      </c>
      <c r="D4" s="43">
        <f t="shared" si="5"/>
        <v>90585.287445386755</v>
      </c>
      <c r="E4" s="43">
        <f t="shared" si="6"/>
        <v>91057.816600727441</v>
      </c>
      <c r="F4" s="43">
        <f t="shared" si="7"/>
        <v>91532.823698645865</v>
      </c>
      <c r="G4" s="43">
        <f t="shared" si="8"/>
        <v>90115.223238755789</v>
      </c>
      <c r="H4" s="11" t="s">
        <v>1024</v>
      </c>
      <c r="I4" s="20">
        <f>196-$Y$19</f>
        <v>190</v>
      </c>
      <c r="J4" s="11">
        <v>0</v>
      </c>
      <c r="K4" s="11">
        <v>0</v>
      </c>
      <c r="L4" s="11">
        <v>0</v>
      </c>
      <c r="M4" s="20">
        <f t="shared" si="0"/>
        <v>6.2295081967213113</v>
      </c>
      <c r="N4" s="3">
        <v>100000</v>
      </c>
      <c r="O4" s="3">
        <v>88600</v>
      </c>
      <c r="P4" s="3">
        <f t="shared" si="1"/>
        <v>100000</v>
      </c>
      <c r="R4">
        <v>97</v>
      </c>
      <c r="S4">
        <v>3</v>
      </c>
      <c r="T4">
        <f t="shared" ref="T4:T49" si="11">$AA$2</f>
        <v>1185</v>
      </c>
      <c r="U4" s="3">
        <f t="shared" si="10"/>
        <v>90197.835736145367</v>
      </c>
      <c r="V4" s="3">
        <f t="shared" si="2"/>
        <v>3618.7743629166666</v>
      </c>
      <c r="X4">
        <v>19</v>
      </c>
    </row>
    <row r="5" spans="1:34" x14ac:dyDescent="0.25">
      <c r="A5" s="16" t="s">
        <v>995</v>
      </c>
      <c r="B5" s="14">
        <f t="shared" si="3"/>
        <v>70557.155408503546</v>
      </c>
      <c r="C5" s="14">
        <f t="shared" si="4"/>
        <v>72184.986328506464</v>
      </c>
      <c r="D5" s="14">
        <f t="shared" si="5"/>
        <v>73370.705200898868</v>
      </c>
      <c r="E5" s="14">
        <f t="shared" si="6"/>
        <v>74575.934099526363</v>
      </c>
      <c r="F5" s="14">
        <f t="shared" si="7"/>
        <v>75800.994593280106</v>
      </c>
      <c r="G5" s="14">
        <f t="shared" si="8"/>
        <v>72184.986328506464</v>
      </c>
      <c r="H5" s="16" t="s">
        <v>1025</v>
      </c>
      <c r="I5" s="16">
        <f>601-$Y$19</f>
        <v>595</v>
      </c>
      <c r="J5" s="16">
        <v>0</v>
      </c>
      <c r="K5" s="16">
        <v>0</v>
      </c>
      <c r="L5" s="16">
        <v>0</v>
      </c>
      <c r="M5" s="16">
        <f t="shared" si="0"/>
        <v>19.508196721311474</v>
      </c>
      <c r="N5" s="14">
        <v>100000</v>
      </c>
      <c r="O5" s="14">
        <v>71000</v>
      </c>
      <c r="P5" s="14">
        <f t="shared" si="1"/>
        <v>99999.999999999985</v>
      </c>
      <c r="R5">
        <v>97</v>
      </c>
      <c r="S5">
        <v>4</v>
      </c>
      <c r="T5">
        <f t="shared" si="11"/>
        <v>1185</v>
      </c>
      <c r="U5" s="3">
        <f t="shared" si="10"/>
        <v>91820.457218607058</v>
      </c>
      <c r="V5" s="3">
        <f t="shared" si="2"/>
        <v>4868.309172388681</v>
      </c>
      <c r="X5">
        <v>18</v>
      </c>
    </row>
    <row r="6" spans="1:34" x14ac:dyDescent="0.25">
      <c r="A6" s="11" t="s">
        <v>996</v>
      </c>
      <c r="B6" s="43">
        <f t="shared" si="3"/>
        <v>85563.579749961733</v>
      </c>
      <c r="C6" s="43">
        <f t="shared" si="4"/>
        <v>86440.53139635452</v>
      </c>
      <c r="D6" s="43">
        <f t="shared" si="5"/>
        <v>87072.443762925715</v>
      </c>
      <c r="E6" s="43">
        <f t="shared" si="6"/>
        <v>87708.993137380778</v>
      </c>
      <c r="F6" s="43">
        <f t="shared" si="7"/>
        <v>88350.213674721905</v>
      </c>
      <c r="G6" s="43">
        <f t="shared" si="8"/>
        <v>86440.53139635452</v>
      </c>
      <c r="H6" s="11" t="s">
        <v>1026</v>
      </c>
      <c r="I6" s="20">
        <f>272-$Y$19</f>
        <v>266</v>
      </c>
      <c r="J6" s="11">
        <v>0</v>
      </c>
      <c r="K6" s="11">
        <v>0</v>
      </c>
      <c r="L6" s="11">
        <v>0</v>
      </c>
      <c r="M6" s="20">
        <f t="shared" si="0"/>
        <v>8.721311475409836</v>
      </c>
      <c r="N6" s="3">
        <v>100000</v>
      </c>
      <c r="O6" s="3">
        <v>84500</v>
      </c>
      <c r="P6" s="3">
        <f t="shared" si="1"/>
        <v>100000</v>
      </c>
      <c r="R6">
        <v>97</v>
      </c>
      <c r="S6">
        <v>5</v>
      </c>
      <c r="T6">
        <f t="shared" si="11"/>
        <v>1185</v>
      </c>
      <c r="U6" s="3">
        <f t="shared" si="10"/>
        <v>93472.268985445946</v>
      </c>
      <c r="V6" s="3">
        <f t="shared" si="2"/>
        <v>6140.1273526296127</v>
      </c>
      <c r="X6">
        <v>17</v>
      </c>
    </row>
    <row r="7" spans="1:34" x14ac:dyDescent="0.25">
      <c r="A7" s="16" t="s">
        <v>997</v>
      </c>
      <c r="B7" s="14">
        <f t="shared" si="3"/>
        <v>71724.667358823819</v>
      </c>
      <c r="C7" s="14">
        <f t="shared" si="4"/>
        <v>73300.7134812601</v>
      </c>
      <c r="D7" s="14">
        <f t="shared" si="5"/>
        <v>74447.657491371545</v>
      </c>
      <c r="E7" s="14">
        <f t="shared" si="6"/>
        <v>75612.580002526796</v>
      </c>
      <c r="F7" s="14">
        <f t="shared" si="7"/>
        <v>76795.763334079733</v>
      </c>
      <c r="G7" s="14">
        <f t="shared" si="8"/>
        <v>73300.7134812601</v>
      </c>
      <c r="H7" s="16" t="s">
        <v>1027</v>
      </c>
      <c r="I7" s="16">
        <f>573-$Y$19</f>
        <v>567</v>
      </c>
      <c r="J7" s="16">
        <v>0</v>
      </c>
      <c r="K7" s="16">
        <v>0</v>
      </c>
      <c r="L7" s="16">
        <v>0</v>
      </c>
      <c r="M7" s="16">
        <f t="shared" si="0"/>
        <v>18.590163934426229</v>
      </c>
      <c r="N7" s="14">
        <v>100000</v>
      </c>
      <c r="O7" s="14">
        <v>71000</v>
      </c>
      <c r="P7" s="14">
        <f t="shared" si="1"/>
        <v>100000.00000000001</v>
      </c>
      <c r="R7">
        <v>97</v>
      </c>
      <c r="S7">
        <v>6</v>
      </c>
      <c r="T7">
        <f t="shared" si="11"/>
        <v>1185</v>
      </c>
      <c r="U7" s="3">
        <f t="shared" si="10"/>
        <v>95153.796157715362</v>
      </c>
      <c r="V7" s="3">
        <f t="shared" si="2"/>
        <v>7434.626290418174</v>
      </c>
    </row>
    <row r="8" spans="1:34" x14ac:dyDescent="0.25">
      <c r="A8" s="11" t="s">
        <v>998</v>
      </c>
      <c r="B8" s="43">
        <f t="shared" si="3"/>
        <v>84864.333804915717</v>
      </c>
      <c r="C8" s="43">
        <f t="shared" si="4"/>
        <v>85780.143095674866</v>
      </c>
      <c r="D8" s="43">
        <f t="shared" si="5"/>
        <v>86440.358930304996</v>
      </c>
      <c r="E8" s="43">
        <f t="shared" si="6"/>
        <v>87105.674473111925</v>
      </c>
      <c r="F8" s="43">
        <f t="shared" si="7"/>
        <v>87776.129257068227</v>
      </c>
      <c r="G8" s="43">
        <f t="shared" si="8"/>
        <v>85780.143095674866</v>
      </c>
      <c r="H8" s="11" t="s">
        <v>1029</v>
      </c>
      <c r="I8" s="20">
        <f>286-$Y$19</f>
        <v>280</v>
      </c>
      <c r="J8" s="11">
        <v>0</v>
      </c>
      <c r="K8" s="11">
        <v>0</v>
      </c>
      <c r="L8" s="11">
        <v>0</v>
      </c>
      <c r="M8" s="20">
        <f t="shared" si="0"/>
        <v>9.1803278688524586</v>
      </c>
      <c r="N8" s="3">
        <v>100000</v>
      </c>
      <c r="O8" s="3">
        <v>84000</v>
      </c>
      <c r="P8" s="3">
        <f t="shared" si="1"/>
        <v>100000</v>
      </c>
      <c r="R8">
        <v>97</v>
      </c>
      <c r="S8">
        <v>7</v>
      </c>
      <c r="T8">
        <f t="shared" si="11"/>
        <v>1185</v>
      </c>
      <c r="U8" s="3">
        <f t="shared" si="10"/>
        <v>96865.573303177589</v>
      </c>
      <c r="V8" s="3">
        <f t="shared" si="2"/>
        <v>8752.2104592639662</v>
      </c>
    </row>
    <row r="9" spans="1:34" x14ac:dyDescent="0.25">
      <c r="A9" s="16" t="s">
        <v>1014</v>
      </c>
      <c r="B9" s="14">
        <f t="shared" si="3"/>
        <v>76232.829146958858</v>
      </c>
      <c r="C9" s="14">
        <f t="shared" si="4"/>
        <v>77597.952144077091</v>
      </c>
      <c r="D9" s="14">
        <f t="shared" si="5"/>
        <v>78588.014080311346</v>
      </c>
      <c r="E9" s="14">
        <f t="shared" si="6"/>
        <v>79590.735716501003</v>
      </c>
      <c r="F9" s="14">
        <f t="shared" si="7"/>
        <v>80606.2792827339</v>
      </c>
      <c r="G9" s="14">
        <f t="shared" si="8"/>
        <v>77597.952144077091</v>
      </c>
      <c r="H9" s="16" t="s">
        <v>1028</v>
      </c>
      <c r="I9" s="16">
        <f>469-$Y$19</f>
        <v>463</v>
      </c>
      <c r="J9" s="16">
        <v>0</v>
      </c>
      <c r="K9" s="16">
        <v>0</v>
      </c>
      <c r="L9" s="16">
        <v>0</v>
      </c>
      <c r="M9" s="16">
        <f t="shared" si="0"/>
        <v>15.180327868852459</v>
      </c>
      <c r="N9" s="14">
        <v>100000</v>
      </c>
      <c r="O9" s="14">
        <v>75500</v>
      </c>
      <c r="P9" s="14">
        <f t="shared" si="1"/>
        <v>100000</v>
      </c>
      <c r="R9">
        <v>97</v>
      </c>
      <c r="S9">
        <v>8</v>
      </c>
      <c r="T9">
        <f t="shared" si="11"/>
        <v>1185</v>
      </c>
      <c r="U9" s="3">
        <f t="shared" si="10"/>
        <v>98608.144606246206</v>
      </c>
      <c r="V9" s="3">
        <f t="shared" si="2"/>
        <v>10093.291545787508</v>
      </c>
    </row>
    <row r="10" spans="1:34" x14ac:dyDescent="0.25">
      <c r="A10" s="11" t="s">
        <v>1015</v>
      </c>
      <c r="B10" s="43">
        <f t="shared" si="3"/>
        <v>76232.829146958858</v>
      </c>
      <c r="C10" s="43">
        <f t="shared" si="4"/>
        <v>77597.952144077091</v>
      </c>
      <c r="D10" s="43">
        <f t="shared" si="5"/>
        <v>78588.014080311346</v>
      </c>
      <c r="E10" s="43">
        <f t="shared" si="6"/>
        <v>79590.735716501003</v>
      </c>
      <c r="F10" s="43">
        <f t="shared" si="7"/>
        <v>80606.2792827339</v>
      </c>
      <c r="G10" s="43">
        <f t="shared" si="8"/>
        <v>77597.952144077091</v>
      </c>
      <c r="H10" s="11" t="s">
        <v>1028</v>
      </c>
      <c r="I10" s="20">
        <f>469-$Y$19</f>
        <v>463</v>
      </c>
      <c r="J10" s="11">
        <v>0</v>
      </c>
      <c r="K10" s="11">
        <v>0</v>
      </c>
      <c r="L10" s="11">
        <v>0</v>
      </c>
      <c r="M10" s="20">
        <f t="shared" si="0"/>
        <v>15.180327868852459</v>
      </c>
      <c r="N10" s="3">
        <v>100000</v>
      </c>
      <c r="O10" s="3">
        <v>75500</v>
      </c>
      <c r="P10" s="3">
        <f t="shared" si="1"/>
        <v>100000</v>
      </c>
      <c r="R10">
        <v>97</v>
      </c>
      <c r="S10">
        <v>9</v>
      </c>
      <c r="T10">
        <f t="shared" si="11"/>
        <v>1185</v>
      </c>
      <c r="U10" s="3">
        <f t="shared" si="10"/>
        <v>100382.06404098564</v>
      </c>
      <c r="V10" s="3">
        <f t="shared" si="2"/>
        <v>11458.288578354051</v>
      </c>
      <c r="AA10" s="26"/>
    </row>
    <row r="11" spans="1:34" x14ac:dyDescent="0.25">
      <c r="A11" s="16" t="s">
        <v>1016</v>
      </c>
      <c r="B11" s="14">
        <f t="shared" si="3"/>
        <v>69694.010086363065</v>
      </c>
      <c r="C11" s="14">
        <f t="shared" si="4"/>
        <v>71359.350092475346</v>
      </c>
      <c r="D11" s="14">
        <f t="shared" si="5"/>
        <v>72573.227137022564</v>
      </c>
      <c r="E11" s="14">
        <f t="shared" si="6"/>
        <v>73807.78724858955</v>
      </c>
      <c r="F11" s="14">
        <f t="shared" si="7"/>
        <v>75063.383423738182</v>
      </c>
      <c r="G11" s="14">
        <f t="shared" si="8"/>
        <v>71359.350092475346</v>
      </c>
      <c r="H11" s="16" t="s">
        <v>1032</v>
      </c>
      <c r="I11" s="16">
        <f>622-$Y$19</f>
        <v>616</v>
      </c>
      <c r="J11" s="16">
        <v>0</v>
      </c>
      <c r="K11" s="16">
        <v>0</v>
      </c>
      <c r="L11" s="16">
        <v>0</v>
      </c>
      <c r="M11" s="16">
        <f t="shared" si="0"/>
        <v>20.196721311475411</v>
      </c>
      <c r="N11" s="14">
        <v>100000</v>
      </c>
      <c r="O11" s="14">
        <v>70000</v>
      </c>
      <c r="P11" s="14">
        <f t="shared" si="1"/>
        <v>100000</v>
      </c>
      <c r="R11">
        <v>97</v>
      </c>
      <c r="S11">
        <v>10</v>
      </c>
      <c r="T11">
        <f t="shared" si="11"/>
        <v>1185</v>
      </c>
      <c r="U11" s="3">
        <f t="shared" si="10"/>
        <v>102187.89554722294</v>
      </c>
      <c r="V11" s="3">
        <f t="shared" si="2"/>
        <v>12847.628058001366</v>
      </c>
      <c r="AA11" s="26"/>
    </row>
    <row r="12" spans="1:34" x14ac:dyDescent="0.25">
      <c r="A12" s="11" t="s">
        <v>1017</v>
      </c>
      <c r="B12" s="43">
        <f t="shared" si="3"/>
        <v>86218.037430154392</v>
      </c>
      <c r="C12" s="43">
        <f t="shared" si="4"/>
        <v>87058.30059393734</v>
      </c>
      <c r="D12" s="43">
        <f t="shared" si="5"/>
        <v>87663.517576681508</v>
      </c>
      <c r="E12" s="43">
        <f t="shared" si="6"/>
        <v>88272.958688195038</v>
      </c>
      <c r="F12" s="43">
        <f t="shared" si="7"/>
        <v>88886.653527790739</v>
      </c>
      <c r="G12" s="43">
        <f t="shared" si="8"/>
        <v>87058.30059393734</v>
      </c>
      <c r="H12" s="11" t="s">
        <v>1033</v>
      </c>
      <c r="I12" s="20">
        <f>259-$Y$19</f>
        <v>253</v>
      </c>
      <c r="J12" s="11">
        <v>0</v>
      </c>
      <c r="K12" s="11">
        <v>0</v>
      </c>
      <c r="L12" s="11">
        <v>0</v>
      </c>
      <c r="M12" s="20">
        <f t="shared" si="0"/>
        <v>8.2950819672131146</v>
      </c>
      <c r="N12" s="3">
        <v>100000</v>
      </c>
      <c r="O12" s="3">
        <v>86600</v>
      </c>
      <c r="P12" s="3">
        <f t="shared" si="1"/>
        <v>100000</v>
      </c>
      <c r="R12">
        <v>97</v>
      </c>
      <c r="S12">
        <v>11</v>
      </c>
      <c r="T12">
        <f t="shared" si="11"/>
        <v>1185</v>
      </c>
      <c r="U12" s="3">
        <f t="shared" si="10"/>
        <v>104026.21320982766</v>
      </c>
      <c r="V12" s="3">
        <f t="shared" si="2"/>
        <v>14261.744091702391</v>
      </c>
      <c r="AA12" s="26"/>
    </row>
    <row r="13" spans="1:34" x14ac:dyDescent="0.25">
      <c r="A13" s="16" t="s">
        <v>1018</v>
      </c>
      <c r="B13" s="14">
        <f t="shared" si="3"/>
        <v>67167.413592578625</v>
      </c>
      <c r="C13" s="14">
        <f t="shared" si="4"/>
        <v>68938.671261782511</v>
      </c>
      <c r="D13" s="14">
        <f t="shared" si="5"/>
        <v>70232.424625891857</v>
      </c>
      <c r="E13" s="14">
        <f t="shared" si="6"/>
        <v>71550.493937604304</v>
      </c>
      <c r="F13" s="14">
        <f t="shared" si="7"/>
        <v>72893.336897113913</v>
      </c>
      <c r="G13" s="14">
        <f t="shared" si="8"/>
        <v>68938.671261782511</v>
      </c>
      <c r="H13" s="16" t="s">
        <v>1034</v>
      </c>
      <c r="I13" s="16">
        <f>685-$Y$19</f>
        <v>679</v>
      </c>
      <c r="J13" s="16">
        <v>0</v>
      </c>
      <c r="K13" s="16">
        <v>0</v>
      </c>
      <c r="L13" s="16">
        <v>0</v>
      </c>
      <c r="M13" s="16">
        <f t="shared" si="0"/>
        <v>22.262295081967213</v>
      </c>
      <c r="N13" s="14">
        <v>100000</v>
      </c>
      <c r="O13" s="14">
        <v>68000</v>
      </c>
      <c r="P13" s="14">
        <f t="shared" si="1"/>
        <v>99999.999999999985</v>
      </c>
      <c r="R13">
        <v>97</v>
      </c>
      <c r="S13">
        <v>12</v>
      </c>
      <c r="T13">
        <f t="shared" si="11"/>
        <v>1185</v>
      </c>
      <c r="U13" s="3">
        <f t="shared" si="10"/>
        <v>105897.60144121695</v>
      </c>
      <c r="V13" s="3">
        <f t="shared" si="2"/>
        <v>15701.078528004417</v>
      </c>
      <c r="AA13" s="26"/>
    </row>
    <row r="14" spans="1:34" x14ac:dyDescent="0.25">
      <c r="A14" s="11" t="s">
        <v>1019</v>
      </c>
      <c r="B14" s="43">
        <f t="shared" si="3"/>
        <v>68278.835355366813</v>
      </c>
      <c r="C14" s="43">
        <f t="shared" si="4"/>
        <v>70004.22174968438</v>
      </c>
      <c r="D14" s="43">
        <f t="shared" si="5"/>
        <v>71263.31250354278</v>
      </c>
      <c r="E14" s="43">
        <f t="shared" si="6"/>
        <v>72545.084582611613</v>
      </c>
      <c r="F14" s="43">
        <f t="shared" si="7"/>
        <v>73849.947207399382</v>
      </c>
      <c r="G14" s="43">
        <f t="shared" si="8"/>
        <v>70004.22174968438</v>
      </c>
      <c r="H14" s="11" t="s">
        <v>1035</v>
      </c>
      <c r="I14" s="20">
        <f>657-$Y$19</f>
        <v>651</v>
      </c>
      <c r="J14" s="11">
        <v>0</v>
      </c>
      <c r="K14" s="11">
        <v>0</v>
      </c>
      <c r="L14" s="11">
        <v>0</v>
      </c>
      <c r="M14" s="20">
        <f t="shared" si="0"/>
        <v>21.344262295081968</v>
      </c>
      <c r="N14" s="3">
        <v>100000</v>
      </c>
      <c r="O14" s="3">
        <v>69000</v>
      </c>
      <c r="P14" s="3">
        <f t="shared" si="1"/>
        <v>99999.999999999985</v>
      </c>
      <c r="R14">
        <v>98</v>
      </c>
      <c r="S14">
        <v>1</v>
      </c>
      <c r="T14">
        <f t="shared" si="11"/>
        <v>1185</v>
      </c>
      <c r="U14" s="3">
        <f t="shared" si="10"/>
        <v>107802.65516714382</v>
      </c>
      <c r="V14" s="3">
        <f t="shared" si="2"/>
        <v>17166.08109508716</v>
      </c>
      <c r="AA14" s="26"/>
    </row>
    <row r="15" spans="1:34" x14ac:dyDescent="0.25">
      <c r="A15" s="16" t="s">
        <v>1020</v>
      </c>
      <c r="B15" s="14">
        <f t="shared" si="3"/>
        <v>68278.835355366813</v>
      </c>
      <c r="C15" s="14">
        <f t="shared" si="4"/>
        <v>70004.22174968438</v>
      </c>
      <c r="D15" s="14">
        <f t="shared" si="5"/>
        <v>71263.31250354278</v>
      </c>
      <c r="E15" s="14">
        <f t="shared" si="6"/>
        <v>72545.084582611613</v>
      </c>
      <c r="F15" s="14">
        <f t="shared" si="7"/>
        <v>73849.947207399382</v>
      </c>
      <c r="G15" s="14">
        <f t="shared" si="8"/>
        <v>70004.22174968438</v>
      </c>
      <c r="H15" s="16" t="s">
        <v>1035</v>
      </c>
      <c r="I15" s="16">
        <f>657-$Y$19</f>
        <v>651</v>
      </c>
      <c r="J15" s="16">
        <v>0</v>
      </c>
      <c r="K15" s="16">
        <v>0</v>
      </c>
      <c r="L15" s="16">
        <v>0</v>
      </c>
      <c r="M15" s="16">
        <f t="shared" si="0"/>
        <v>21.344262295081968</v>
      </c>
      <c r="N15" s="14">
        <v>100000</v>
      </c>
      <c r="O15" s="14">
        <v>69000</v>
      </c>
      <c r="P15" s="14">
        <f t="shared" si="1"/>
        <v>99999.999999999985</v>
      </c>
      <c r="R15">
        <v>98</v>
      </c>
      <c r="S15">
        <v>2</v>
      </c>
      <c r="T15">
        <f t="shared" si="11"/>
        <v>1185</v>
      </c>
      <c r="U15" s="3">
        <f t="shared" si="10"/>
        <v>109741.98001582774</v>
      </c>
      <c r="V15" s="3">
        <f t="shared" si="2"/>
        <v>18657.209541282882</v>
      </c>
      <c r="X15" s="87">
        <f>Z2*((1+$X$2/36500)^365)</f>
        <v>123854.4983528483</v>
      </c>
      <c r="Y15">
        <v>21.4</v>
      </c>
      <c r="AA15" s="26"/>
    </row>
    <row r="16" spans="1:34" x14ac:dyDescent="0.25">
      <c r="A16" s="11" t="s">
        <v>1021</v>
      </c>
      <c r="B16" s="43">
        <f t="shared" si="3"/>
        <v>70557.155408503546</v>
      </c>
      <c r="C16" s="43">
        <f t="shared" si="4"/>
        <v>72184.986328506464</v>
      </c>
      <c r="D16" s="43">
        <f t="shared" si="5"/>
        <v>73370.705200898868</v>
      </c>
      <c r="E16" s="43">
        <f t="shared" si="6"/>
        <v>74575.934099526363</v>
      </c>
      <c r="F16" s="43">
        <f t="shared" si="7"/>
        <v>75800.994593280106</v>
      </c>
      <c r="G16" s="43">
        <f t="shared" si="8"/>
        <v>72184.986328506464</v>
      </c>
      <c r="H16" s="11" t="s">
        <v>1025</v>
      </c>
      <c r="I16" s="20">
        <f>601-$Y$19</f>
        <v>595</v>
      </c>
      <c r="J16" s="11">
        <v>0</v>
      </c>
      <c r="K16" s="11">
        <v>0</v>
      </c>
      <c r="L16" s="11">
        <v>0</v>
      </c>
      <c r="M16" s="20">
        <f t="shared" si="0"/>
        <v>19.508196721311474</v>
      </c>
      <c r="N16" s="3">
        <v>100000</v>
      </c>
      <c r="O16" s="3">
        <v>70500</v>
      </c>
      <c r="P16" s="3">
        <f t="shared" si="1"/>
        <v>99999.999999999985</v>
      </c>
      <c r="R16">
        <v>98</v>
      </c>
      <c r="S16">
        <v>3</v>
      </c>
      <c r="T16">
        <f t="shared" si="11"/>
        <v>1185</v>
      </c>
      <c r="U16" s="3">
        <f t="shared" si="10"/>
        <v>111716.19251048745</v>
      </c>
      <c r="V16" s="3">
        <f t="shared" si="2"/>
        <v>20174.929778102429</v>
      </c>
      <c r="AA16" s="26"/>
    </row>
    <row r="17" spans="1:27" x14ac:dyDescent="0.25">
      <c r="A17" s="16" t="s">
        <v>1039</v>
      </c>
      <c r="B17" s="14">
        <f t="shared" si="3"/>
        <v>82086.742314945208</v>
      </c>
      <c r="C17" s="14">
        <f t="shared" si="4"/>
        <v>86584.723598693003</v>
      </c>
      <c r="D17" s="14">
        <f t="shared" si="5"/>
        <v>89947.805467809289</v>
      </c>
      <c r="E17" s="14">
        <f t="shared" si="6"/>
        <v>93441.612080211125</v>
      </c>
      <c r="F17" s="14">
        <f t="shared" si="7"/>
        <v>97071.228566674981</v>
      </c>
      <c r="G17" s="14">
        <f t="shared" si="8"/>
        <v>86584.723598693003</v>
      </c>
      <c r="H17" s="16" t="s">
        <v>1040</v>
      </c>
      <c r="I17" s="16">
        <f>1397-$Y$19</f>
        <v>1391</v>
      </c>
      <c r="J17" s="16">
        <v>17</v>
      </c>
      <c r="K17" s="16">
        <f>$AD$2</f>
        <v>0.78</v>
      </c>
      <c r="L17" s="16">
        <v>6</v>
      </c>
      <c r="M17" s="16">
        <f t="shared" si="0"/>
        <v>45.606557377049178</v>
      </c>
      <c r="N17" s="14">
        <v>100000</v>
      </c>
      <c r="O17" s="14">
        <v>96000</v>
      </c>
      <c r="P17" s="14">
        <f t="shared" si="1"/>
        <v>185505.16818829643</v>
      </c>
      <c r="R17">
        <v>98</v>
      </c>
      <c r="S17">
        <v>4</v>
      </c>
      <c r="T17">
        <f t="shared" si="11"/>
        <v>1185</v>
      </c>
      <c r="U17" s="3">
        <f t="shared" si="10"/>
        <v>113725.92026533757</v>
      </c>
      <c r="V17" s="3">
        <f t="shared" si="2"/>
        <v>21719.716025811922</v>
      </c>
      <c r="AA17" s="26"/>
    </row>
    <row r="18" spans="1:27" x14ac:dyDescent="0.25">
      <c r="A18" s="11" t="s">
        <v>987</v>
      </c>
      <c r="B18" s="85">
        <f t="shared" si="3"/>
        <v>98062.233213752697</v>
      </c>
      <c r="C18" s="85">
        <f t="shared" si="4"/>
        <v>100183.62073314599</v>
      </c>
      <c r="D18" s="85">
        <f t="shared" si="5"/>
        <v>101726.98839560473</v>
      </c>
      <c r="E18" s="85">
        <f t="shared" si="6"/>
        <v>103294.17550390019</v>
      </c>
      <c r="F18" s="85">
        <f t="shared" si="7"/>
        <v>104885.55034139325</v>
      </c>
      <c r="G18" s="85">
        <f t="shared" si="8"/>
        <v>100183.62073314599</v>
      </c>
      <c r="H18" s="11" t="s">
        <v>1006</v>
      </c>
      <c r="I18" s="20">
        <f>564-$Y$19</f>
        <v>558</v>
      </c>
      <c r="J18" s="11">
        <v>21</v>
      </c>
      <c r="K18" s="11">
        <f t="shared" ref="K18:K23" si="12">$AD$1</f>
        <v>0.88</v>
      </c>
      <c r="L18" s="11">
        <v>3</v>
      </c>
      <c r="M18" s="20">
        <f t="shared" si="0"/>
        <v>18.295081967213115</v>
      </c>
      <c r="N18" s="3">
        <v>100000</v>
      </c>
      <c r="O18" s="3">
        <v>98000</v>
      </c>
      <c r="P18" s="3">
        <f t="shared" si="1"/>
        <v>136001.04992132267</v>
      </c>
      <c r="R18">
        <v>98</v>
      </c>
      <c r="S18">
        <v>5</v>
      </c>
      <c r="T18">
        <f t="shared" si="11"/>
        <v>1185</v>
      </c>
      <c r="U18" s="3">
        <f t="shared" si="10"/>
        <v>115771.80218511086</v>
      </c>
      <c r="V18" s="3">
        <f t="shared" si="2"/>
        <v>23292.050961605568</v>
      </c>
      <c r="X18" t="s">
        <v>1037</v>
      </c>
      <c r="Y18" t="s">
        <v>1082</v>
      </c>
      <c r="AA18" s="26"/>
    </row>
    <row r="19" spans="1:27" x14ac:dyDescent="0.25">
      <c r="A19" s="16" t="s">
        <v>988</v>
      </c>
      <c r="B19" s="14">
        <f t="shared" si="3"/>
        <v>90581.245560975411</v>
      </c>
      <c r="C19" s="14">
        <f t="shared" si="4"/>
        <v>92600.876991409939</v>
      </c>
      <c r="D19" s="14">
        <f t="shared" si="5"/>
        <v>94071.031092566423</v>
      </c>
      <c r="E19" s="14">
        <f t="shared" si="6"/>
        <v>95564.566955640679</v>
      </c>
      <c r="F19" s="14">
        <f t="shared" si="7"/>
        <v>97081.8571069108</v>
      </c>
      <c r="G19" s="14">
        <f t="shared" si="8"/>
        <v>92600.876991409939</v>
      </c>
      <c r="H19" s="16" t="s">
        <v>1007</v>
      </c>
      <c r="I19" s="16">
        <f>581-$Y$19</f>
        <v>575</v>
      </c>
      <c r="J19" s="16">
        <v>16</v>
      </c>
      <c r="K19" s="11">
        <f t="shared" si="12"/>
        <v>0.88</v>
      </c>
      <c r="L19" s="16">
        <v>3</v>
      </c>
      <c r="M19" s="16">
        <f t="shared" si="0"/>
        <v>18.852459016393443</v>
      </c>
      <c r="N19" s="14">
        <v>100000</v>
      </c>
      <c r="O19" s="14">
        <v>91000</v>
      </c>
      <c r="P19" s="14">
        <f t="shared" si="1"/>
        <v>126883.79750625408</v>
      </c>
      <c r="R19">
        <v>98</v>
      </c>
      <c r="S19">
        <v>6</v>
      </c>
      <c r="T19">
        <f t="shared" si="11"/>
        <v>1185</v>
      </c>
      <c r="U19" s="3">
        <f t="shared" si="10"/>
        <v>117854.48866817009</v>
      </c>
      <c r="V19" s="3">
        <f t="shared" si="2"/>
        <v>24892.42587042087</v>
      </c>
      <c r="X19" t="s">
        <v>1091</v>
      </c>
      <c r="Y19">
        <v>6</v>
      </c>
      <c r="AA19" s="26"/>
    </row>
    <row r="20" spans="1:27" x14ac:dyDescent="0.25">
      <c r="A20" s="20" t="s">
        <v>981</v>
      </c>
      <c r="B20" s="43">
        <f t="shared" si="3"/>
        <v>97825.240475586004</v>
      </c>
      <c r="C20" s="43">
        <f t="shared" si="4"/>
        <v>100206.34993420816</v>
      </c>
      <c r="D20" s="43">
        <f t="shared" si="5"/>
        <v>101942.60238991768</v>
      </c>
      <c r="E20" s="43">
        <f t="shared" si="6"/>
        <v>103708.9873057376</v>
      </c>
      <c r="F20" s="43">
        <f t="shared" si="7"/>
        <v>105506.02847418349</v>
      </c>
      <c r="G20" s="43">
        <f t="shared" si="8"/>
        <v>100206.34993420816</v>
      </c>
      <c r="H20" s="11" t="s">
        <v>1008</v>
      </c>
      <c r="I20" s="20">
        <f>633-$Y$19</f>
        <v>627</v>
      </c>
      <c r="J20" s="11">
        <v>21</v>
      </c>
      <c r="K20" s="11">
        <f t="shared" si="12"/>
        <v>0.88</v>
      </c>
      <c r="L20" s="11">
        <v>3</v>
      </c>
      <c r="M20" s="20">
        <f t="shared" si="0"/>
        <v>20.557377049180328</v>
      </c>
      <c r="N20" s="3">
        <v>100000</v>
      </c>
      <c r="O20" s="3">
        <v>97200</v>
      </c>
      <c r="P20" s="3">
        <f t="shared" si="1"/>
        <v>141271.82366553918</v>
      </c>
      <c r="R20">
        <v>98</v>
      </c>
      <c r="S20" s="9">
        <v>7</v>
      </c>
      <c r="T20">
        <f t="shared" si="11"/>
        <v>1185</v>
      </c>
      <c r="U20" s="3">
        <f t="shared" si="10"/>
        <v>119974.64181327351</v>
      </c>
      <c r="V20" s="3">
        <f t="shared" si="2"/>
        <v>26521.340798443376</v>
      </c>
      <c r="AA20" s="26"/>
    </row>
    <row r="21" spans="1:27" x14ac:dyDescent="0.25">
      <c r="A21" s="16" t="s">
        <v>974</v>
      </c>
      <c r="B21" s="14">
        <f t="shared" si="3"/>
        <v>97592.242784522809</v>
      </c>
      <c r="C21" s="14">
        <f t="shared" si="4"/>
        <v>100228.75477169026</v>
      </c>
      <c r="D21" s="14">
        <f t="shared" si="5"/>
        <v>102155.53865391614</v>
      </c>
      <c r="E21" s="14">
        <f t="shared" si="6"/>
        <v>104119.41708584171</v>
      </c>
      <c r="F21" s="14">
        <f t="shared" si="7"/>
        <v>106121.10525960251</v>
      </c>
      <c r="G21" s="14">
        <f t="shared" si="8"/>
        <v>100228.75477169026</v>
      </c>
      <c r="H21" s="16" t="s">
        <v>1009</v>
      </c>
      <c r="I21" s="16">
        <f>701-$Y$19</f>
        <v>695</v>
      </c>
      <c r="J21" s="16">
        <v>21</v>
      </c>
      <c r="K21" s="11">
        <f t="shared" si="12"/>
        <v>0.88</v>
      </c>
      <c r="L21" s="16">
        <v>3</v>
      </c>
      <c r="M21" s="16">
        <f t="shared" si="0"/>
        <v>22.78688524590164</v>
      </c>
      <c r="N21" s="14">
        <v>100000</v>
      </c>
      <c r="O21" s="14">
        <v>99500</v>
      </c>
      <c r="P21" s="14">
        <f t="shared" si="1"/>
        <v>146666.02400312177</v>
      </c>
      <c r="R21">
        <v>98</v>
      </c>
      <c r="S21">
        <v>8</v>
      </c>
      <c r="T21">
        <f t="shared" si="11"/>
        <v>1185</v>
      </c>
      <c r="U21" s="3">
        <f t="shared" si="10"/>
        <v>122132.93563006021</v>
      </c>
      <c r="V21" s="3">
        <f t="shared" si="2"/>
        <v>28179.304709348951</v>
      </c>
      <c r="Z21" s="25"/>
      <c r="AA21" s="26"/>
    </row>
    <row r="22" spans="1:27" x14ac:dyDescent="0.25">
      <c r="A22" s="11" t="s">
        <v>989</v>
      </c>
      <c r="B22" s="43">
        <f t="shared" si="3"/>
        <v>91882.742999900845</v>
      </c>
      <c r="C22" s="43">
        <f t="shared" si="4"/>
        <v>94462.569518257471</v>
      </c>
      <c r="D22" s="43">
        <f t="shared" si="5"/>
        <v>96349.595678316837</v>
      </c>
      <c r="E22" s="43">
        <f t="shared" si="6"/>
        <v>98274.371162724186</v>
      </c>
      <c r="F22" s="43">
        <f t="shared" si="7"/>
        <v>100237.65219944179</v>
      </c>
      <c r="G22" s="43">
        <f t="shared" si="8"/>
        <v>94462.569518257471</v>
      </c>
      <c r="H22" s="11" t="s">
        <v>1038</v>
      </c>
      <c r="I22" s="20">
        <f>728-$Y$19</f>
        <v>722</v>
      </c>
      <c r="J22" s="11">
        <v>18</v>
      </c>
      <c r="K22" s="11">
        <f t="shared" si="12"/>
        <v>0.88</v>
      </c>
      <c r="L22" s="11">
        <v>3</v>
      </c>
      <c r="M22" s="20">
        <f t="shared" si="0"/>
        <v>23.672131147540984</v>
      </c>
      <c r="N22" s="3">
        <v>100000</v>
      </c>
      <c r="O22" s="3">
        <v>93000</v>
      </c>
      <c r="P22" s="3">
        <f t="shared" si="1"/>
        <v>140288.18561718499</v>
      </c>
      <c r="R22">
        <v>98</v>
      </c>
      <c r="S22" s="9">
        <v>9</v>
      </c>
      <c r="T22">
        <f t="shared" si="11"/>
        <v>1185</v>
      </c>
      <c r="U22" s="3">
        <f t="shared" si="10"/>
        <v>124330.0562533218</v>
      </c>
      <c r="V22" s="3">
        <f t="shared" si="2"/>
        <v>29866.835643332342</v>
      </c>
      <c r="Z22" s="25"/>
      <c r="AA22" s="26"/>
    </row>
    <row r="23" spans="1:27" x14ac:dyDescent="0.25">
      <c r="A23" s="16" t="s">
        <v>990</v>
      </c>
      <c r="B23" s="14">
        <f t="shared" si="3"/>
        <v>89189.524063209901</v>
      </c>
      <c r="C23" s="14">
        <f t="shared" si="4"/>
        <v>91493.372682823363</v>
      </c>
      <c r="D23" s="14">
        <f t="shared" si="5"/>
        <v>93175.380773590397</v>
      </c>
      <c r="E23" s="14">
        <f t="shared" si="6"/>
        <v>94888.358143428966</v>
      </c>
      <c r="F23" s="14">
        <f t="shared" si="7"/>
        <v>96632.875873328565</v>
      </c>
      <c r="G23" s="14">
        <f t="shared" si="8"/>
        <v>91493.372682823363</v>
      </c>
      <c r="H23" s="16" t="s">
        <v>1010</v>
      </c>
      <c r="I23" s="16">
        <f>671-$Y$19</f>
        <v>665</v>
      </c>
      <c r="J23" s="16">
        <v>16</v>
      </c>
      <c r="K23" s="11">
        <f t="shared" si="12"/>
        <v>0.88</v>
      </c>
      <c r="L23" s="16">
        <v>3</v>
      </c>
      <c r="M23" s="16">
        <f t="shared" si="0"/>
        <v>21.803278688524589</v>
      </c>
      <c r="N23" s="14">
        <v>100000</v>
      </c>
      <c r="O23" s="14">
        <v>90000</v>
      </c>
      <c r="P23" s="14">
        <f t="shared" si="1"/>
        <v>131701.73050660736</v>
      </c>
      <c r="R23">
        <v>98</v>
      </c>
      <c r="S23">
        <v>10</v>
      </c>
      <c r="T23">
        <f t="shared" si="11"/>
        <v>1185</v>
      </c>
      <c r="U23" s="3">
        <f t="shared" si="10"/>
        <v>126566.70216112894</v>
      </c>
      <c r="V23" s="3">
        <f t="shared" si="2"/>
        <v>31584.460878971771</v>
      </c>
      <c r="X23" t="s">
        <v>977</v>
      </c>
      <c r="Y23" t="s">
        <v>1092</v>
      </c>
      <c r="Z23" s="25"/>
      <c r="AA23" s="26"/>
    </row>
    <row r="24" spans="1:27" x14ac:dyDescent="0.25">
      <c r="A24" s="11" t="s">
        <v>991</v>
      </c>
      <c r="B24" s="88">
        <f t="shared" si="3"/>
        <v>82484.282101387653</v>
      </c>
      <c r="C24" s="88">
        <f t="shared" si="4"/>
        <v>85639.941000195045</v>
      </c>
      <c r="D24" s="88">
        <f t="shared" si="5"/>
        <v>87967.709810663247</v>
      </c>
      <c r="E24" s="88">
        <f t="shared" si="6"/>
        <v>90358.815804283731</v>
      </c>
      <c r="F24" s="88">
        <f t="shared" si="7"/>
        <v>92814.984153881407</v>
      </c>
      <c r="G24" s="88">
        <f t="shared" si="8"/>
        <v>85639.941000195045</v>
      </c>
      <c r="H24" s="11" t="s">
        <v>1011</v>
      </c>
      <c r="I24" s="20">
        <f>985-$Y$19</f>
        <v>979</v>
      </c>
      <c r="J24" s="11">
        <v>15</v>
      </c>
      <c r="K24" s="11">
        <f>$AD$2</f>
        <v>0.78</v>
      </c>
      <c r="L24" s="11">
        <v>6</v>
      </c>
      <c r="M24" s="20">
        <f t="shared" si="0"/>
        <v>32.098360655737707</v>
      </c>
      <c r="N24" s="3">
        <v>100000</v>
      </c>
      <c r="O24" s="3">
        <v>85500</v>
      </c>
      <c r="P24" s="3">
        <f t="shared" si="1"/>
        <v>146412.59024373878</v>
      </c>
      <c r="R24">
        <v>98</v>
      </c>
      <c r="S24">
        <v>11</v>
      </c>
      <c r="T24">
        <f t="shared" si="11"/>
        <v>1185</v>
      </c>
      <c r="U24" s="3">
        <f t="shared" si="10"/>
        <v>128843.58439688174</v>
      </c>
      <c r="V24" s="3">
        <f t="shared" si="2"/>
        <v>33332.717097980101</v>
      </c>
      <c r="X24">
        <v>85600</v>
      </c>
      <c r="Y24">
        <v>980</v>
      </c>
      <c r="Z24" s="3">
        <f>X24*(1+X2/36500)^Y24</f>
        <v>152032.18688719775</v>
      </c>
      <c r="AA24" s="26"/>
    </row>
    <row r="25" spans="1:27" x14ac:dyDescent="0.25">
      <c r="A25" s="16" t="s">
        <v>965</v>
      </c>
      <c r="B25" s="14">
        <f t="shared" si="3"/>
        <v>81119.382872269271</v>
      </c>
      <c r="C25" s="14">
        <f t="shared" si="4"/>
        <v>82237.164405487463</v>
      </c>
      <c r="D25" s="14">
        <f t="shared" si="5"/>
        <v>83045.024198832121</v>
      </c>
      <c r="E25" s="14">
        <f t="shared" si="6"/>
        <v>83860.842481031345</v>
      </c>
      <c r="F25" s="14">
        <f t="shared" si="7"/>
        <v>84684.697874905323</v>
      </c>
      <c r="G25" s="14">
        <f t="shared" si="8"/>
        <v>82237.164405487463</v>
      </c>
      <c r="H25" s="16" t="s">
        <v>1012</v>
      </c>
      <c r="I25" s="16">
        <f>363-$Y$19</f>
        <v>357</v>
      </c>
      <c r="J25" s="16">
        <v>0</v>
      </c>
      <c r="K25" s="16">
        <v>0</v>
      </c>
      <c r="L25" s="16">
        <v>0</v>
      </c>
      <c r="M25" s="16">
        <f t="shared" si="0"/>
        <v>11.704918032786885</v>
      </c>
      <c r="N25" s="14">
        <v>100000</v>
      </c>
      <c r="O25" s="14">
        <v>82000</v>
      </c>
      <c r="P25" s="14">
        <f t="shared" si="1"/>
        <v>100000</v>
      </c>
      <c r="R25">
        <v>98</v>
      </c>
      <c r="S25">
        <v>12</v>
      </c>
      <c r="T25">
        <f t="shared" si="11"/>
        <v>1185</v>
      </c>
      <c r="U25" s="3">
        <f t="shared" si="10"/>
        <v>131161.42679535478</v>
      </c>
      <c r="V25" s="3">
        <f t="shared" si="2"/>
        <v>35112.150552894083</v>
      </c>
      <c r="Z25" s="25"/>
      <c r="AA25" s="26"/>
    </row>
    <row r="26" spans="1:27" x14ac:dyDescent="0.25">
      <c r="A26" s="16" t="s">
        <v>1000</v>
      </c>
      <c r="B26" s="14">
        <f t="shared" si="3"/>
        <v>92728.76641408907</v>
      </c>
      <c r="C26" s="14">
        <f t="shared" si="4"/>
        <v>97335.032218824781</v>
      </c>
      <c r="D26" s="14">
        <f t="shared" si="5"/>
        <v>100764.77488781617</v>
      </c>
      <c r="E26" s="14">
        <f t="shared" si="6"/>
        <v>104315.46854444291</v>
      </c>
      <c r="F26" s="14">
        <f t="shared" si="7"/>
        <v>107991.38205503971</v>
      </c>
      <c r="G26" s="14">
        <f t="shared" si="8"/>
        <v>97335.032218824781</v>
      </c>
      <c r="H26" s="16" t="s">
        <v>1003</v>
      </c>
      <c r="I26" s="16">
        <f>1270-$Y$19</f>
        <v>1264</v>
      </c>
      <c r="J26" s="16">
        <v>20</v>
      </c>
      <c r="K26" s="16">
        <f>$AD$2</f>
        <v>0.78</v>
      </c>
      <c r="L26" s="16">
        <v>6</v>
      </c>
      <c r="M26" s="16">
        <f t="shared" si="0"/>
        <v>41.442622950819676</v>
      </c>
      <c r="N26" s="14">
        <v>100000</v>
      </c>
      <c r="O26" s="14">
        <v>100000</v>
      </c>
      <c r="P26" s="14">
        <f t="shared" si="1"/>
        <v>194522.24147309843</v>
      </c>
      <c r="R26">
        <v>99</v>
      </c>
      <c r="S26">
        <v>1</v>
      </c>
      <c r="T26">
        <f t="shared" si="11"/>
        <v>1185</v>
      </c>
      <c r="U26" s="3">
        <f t="shared" si="10"/>
        <v>133520.96621280871</v>
      </c>
      <c r="V26" s="3">
        <f t="shared" si="2"/>
        <v>36923.317237754032</v>
      </c>
      <c r="Z26" s="25"/>
      <c r="AA26" s="26"/>
    </row>
    <row r="27" spans="1:27" x14ac:dyDescent="0.25">
      <c r="A27" s="20" t="s">
        <v>1004</v>
      </c>
      <c r="B27" s="43">
        <f t="shared" si="3"/>
        <v>99733.398135512631</v>
      </c>
      <c r="C27" s="43">
        <f t="shared" si="4"/>
        <v>101073.57388843624</v>
      </c>
      <c r="D27" s="43">
        <f t="shared" si="5"/>
        <v>102041.88596898067</v>
      </c>
      <c r="E27" s="43">
        <f t="shared" si="6"/>
        <v>103019.50165332621</v>
      </c>
      <c r="F27" s="43">
        <f t="shared" si="7"/>
        <v>104006.5105896819</v>
      </c>
      <c r="G27" s="43">
        <f t="shared" si="8"/>
        <v>101073.57388843624</v>
      </c>
      <c r="H27" s="20" t="s">
        <v>1005</v>
      </c>
      <c r="I27" s="20">
        <f>354-$Y$19</f>
        <v>348</v>
      </c>
      <c r="J27" s="20">
        <v>22</v>
      </c>
      <c r="K27" s="20">
        <f>AD1</f>
        <v>0.88</v>
      </c>
      <c r="L27" s="20">
        <v>3</v>
      </c>
      <c r="M27" s="20">
        <f t="shared" si="0"/>
        <v>11.409836065573771</v>
      </c>
      <c r="N27" s="43">
        <v>100000</v>
      </c>
      <c r="O27" s="43">
        <v>103000</v>
      </c>
      <c r="P27" s="3">
        <f t="shared" si="1"/>
        <v>122299.59056432718</v>
      </c>
      <c r="R27">
        <v>99</v>
      </c>
      <c r="S27">
        <v>2</v>
      </c>
      <c r="T27">
        <f t="shared" si="11"/>
        <v>1185</v>
      </c>
      <c r="U27" s="3">
        <f t="shared" si="10"/>
        <v>135922.95276124121</v>
      </c>
      <c r="V27" s="3">
        <f t="shared" si="2"/>
        <v>38766.783061827315</v>
      </c>
      <c r="Z27" s="25"/>
      <c r="AA27" s="26"/>
    </row>
    <row r="28" spans="1:27" x14ac:dyDescent="0.25">
      <c r="A28" s="16" t="s">
        <v>1030</v>
      </c>
      <c r="B28" s="14">
        <f t="shared" si="3"/>
        <v>99160.805949787304</v>
      </c>
      <c r="C28" s="14">
        <f t="shared" si="4"/>
        <v>102129.22955088875</v>
      </c>
      <c r="D28" s="14">
        <f t="shared" si="5"/>
        <v>104303.85549602375</v>
      </c>
      <c r="E28" s="14">
        <f t="shared" si="6"/>
        <v>106524.84699632994</v>
      </c>
      <c r="F28" s="14">
        <f t="shared" si="7"/>
        <v>108793.19393059339</v>
      </c>
      <c r="G28" s="14">
        <f t="shared" si="8"/>
        <v>102129.22955088875</v>
      </c>
      <c r="H28" s="16" t="s">
        <v>1031</v>
      </c>
      <c r="I28" s="16">
        <f>775-$Y$19</f>
        <v>769</v>
      </c>
      <c r="J28" s="16">
        <v>21</v>
      </c>
      <c r="K28" s="16">
        <v>0</v>
      </c>
      <c r="L28" s="16">
        <v>1</v>
      </c>
      <c r="M28" s="16">
        <f t="shared" si="0"/>
        <v>25.21311475409836</v>
      </c>
      <c r="N28" s="14">
        <v>100000</v>
      </c>
      <c r="O28" s="14">
        <v>104000</v>
      </c>
      <c r="P28" s="14">
        <f t="shared" si="1"/>
        <v>155629.23323581112</v>
      </c>
      <c r="R28">
        <v>99</v>
      </c>
      <c r="S28">
        <v>3</v>
      </c>
      <c r="T28">
        <f t="shared" si="11"/>
        <v>1185</v>
      </c>
      <c r="U28" s="3">
        <f t="shared" si="10"/>
        <v>138368.15004685227</v>
      </c>
      <c r="V28" s="3">
        <f t="shared" si="2"/>
        <v>40643.124026429905</v>
      </c>
      <c r="X28" s="87">
        <f>Y28*((1+$X$2/36500)^30)</f>
        <v>10177393.935431281</v>
      </c>
      <c r="Y28" s="3">
        <v>10000000</v>
      </c>
      <c r="Z28" s="25"/>
      <c r="AA28" s="26"/>
    </row>
    <row r="29" spans="1:27" x14ac:dyDescent="0.25">
      <c r="A29" s="20" t="s">
        <v>1086</v>
      </c>
      <c r="B29" s="43">
        <f t="shared" si="3"/>
        <v>82859.171021028757</v>
      </c>
      <c r="C29" s="43">
        <f t="shared" si="4"/>
        <v>87178.532417864801</v>
      </c>
      <c r="D29" s="43">
        <f t="shared" si="5"/>
        <v>90401.080589036414</v>
      </c>
      <c r="E29" s="43">
        <f t="shared" si="6"/>
        <v>93742.843239669834</v>
      </c>
      <c r="F29" s="43">
        <f t="shared" si="7"/>
        <v>97208.234021636817</v>
      </c>
      <c r="G29" s="43">
        <f t="shared" si="8"/>
        <v>87178.532417864801</v>
      </c>
      <c r="H29" s="20" t="s">
        <v>1087</v>
      </c>
      <c r="I29" s="20">
        <f>1331-$Y$19</f>
        <v>1325</v>
      </c>
      <c r="J29" s="20">
        <v>17</v>
      </c>
      <c r="K29" s="20">
        <f>AD2</f>
        <v>0.78</v>
      </c>
      <c r="L29" s="20">
        <v>6</v>
      </c>
      <c r="M29" s="20">
        <f t="shared" si="0"/>
        <v>43.442622950819676</v>
      </c>
      <c r="N29" s="43">
        <v>100000</v>
      </c>
      <c r="O29" s="43"/>
      <c r="P29" s="3">
        <f t="shared" si="1"/>
        <v>180145.36389326531</v>
      </c>
      <c r="R29">
        <v>99</v>
      </c>
      <c r="S29">
        <v>4</v>
      </c>
      <c r="T29">
        <f t="shared" si="11"/>
        <v>1185</v>
      </c>
      <c r="U29" s="3">
        <f t="shared" si="10"/>
        <v>140857.33541279926</v>
      </c>
      <c r="V29" s="3">
        <f t="shared" si="2"/>
        <v>42552.926404901242</v>
      </c>
      <c r="Z29" s="25"/>
      <c r="AA29" s="26"/>
    </row>
    <row r="30" spans="1:27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89"/>
      <c r="R30">
        <v>99</v>
      </c>
      <c r="S30">
        <v>5</v>
      </c>
      <c r="T30">
        <f t="shared" si="11"/>
        <v>1185</v>
      </c>
      <c r="U30" s="3">
        <f t="shared" si="10"/>
        <v>143391.30018631907</v>
      </c>
      <c r="V30" s="3">
        <f t="shared" si="2"/>
        <v>44496.786925788649</v>
      </c>
      <c r="Y30" s="25"/>
      <c r="Z30" s="26"/>
    </row>
    <row r="31" spans="1:27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89"/>
      <c r="R31">
        <v>99</v>
      </c>
      <c r="S31">
        <v>6</v>
      </c>
      <c r="T31">
        <f t="shared" si="11"/>
        <v>1185</v>
      </c>
      <c r="U31" s="3">
        <f t="shared" si="10"/>
        <v>145970.84993029587</v>
      </c>
      <c r="V31" s="3">
        <f t="shared" si="2"/>
        <v>46475.31295929855</v>
      </c>
      <c r="Y31" s="25"/>
      <c r="Z31" s="26"/>
    </row>
    <row r="32" spans="1:27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89"/>
      <c r="R32">
        <v>99</v>
      </c>
      <c r="S32">
        <v>7</v>
      </c>
      <c r="T32">
        <f t="shared" si="11"/>
        <v>1185</v>
      </c>
      <c r="U32" s="3">
        <f t="shared" si="10"/>
        <v>148596.8046993544</v>
      </c>
      <c r="V32" s="3">
        <f t="shared" si="2"/>
        <v>48489.122707072711</v>
      </c>
      <c r="Y32" s="25"/>
      <c r="Z32" s="26"/>
    </row>
    <row r="33" spans="1:26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89"/>
      <c r="R33">
        <v>99</v>
      </c>
      <c r="S33">
        <v>8</v>
      </c>
      <c r="T33">
        <f t="shared" si="11"/>
        <v>1185</v>
      </c>
      <c r="U33" s="3">
        <f t="shared" si="10"/>
        <v>151269.99930056048</v>
      </c>
      <c r="V33" s="3">
        <f t="shared" si="2"/>
        <v>50538.845395348842</v>
      </c>
      <c r="Y33" s="25"/>
      <c r="Z33" s="26"/>
    </row>
    <row r="34" spans="1:26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R34">
        <v>99</v>
      </c>
      <c r="S34" s="9">
        <v>9</v>
      </c>
      <c r="T34">
        <f t="shared" si="11"/>
        <v>1185</v>
      </c>
      <c r="U34" s="3">
        <f>U33*(1+($X$2+0.1875)/1200)</f>
        <v>153991.28355881118</v>
      </c>
      <c r="V34" s="3">
        <f t="shared" si="2"/>
        <v>52625.121471565901</v>
      </c>
      <c r="Y34" s="25"/>
      <c r="Z34" s="26"/>
    </row>
    <row r="35" spans="1:26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R35">
        <v>99</v>
      </c>
      <c r="S35">
        <v>10</v>
      </c>
      <c r="T35">
        <f t="shared" si="11"/>
        <v>1185</v>
      </c>
      <c r="U35" s="3">
        <f t="shared" si="10"/>
        <v>156761.52258699934</v>
      </c>
      <c r="V35" s="3">
        <f t="shared" si="2"/>
        <v>54748.602804475493</v>
      </c>
      <c r="Y35" s="25"/>
      <c r="Z35" s="26"/>
    </row>
    <row r="36" spans="1:26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R36">
        <v>99</v>
      </c>
      <c r="S36">
        <v>11</v>
      </c>
      <c r="T36">
        <f t="shared" si="11"/>
        <v>1185</v>
      </c>
      <c r="U36" s="3">
        <f t="shared" si="10"/>
        <v>159581.59706103837</v>
      </c>
      <c r="V36" s="3">
        <f t="shared" si="2"/>
        <v>56909.952887821972</v>
      </c>
      <c r="Y36" s="25"/>
      <c r="Z36" s="26"/>
    </row>
    <row r="37" spans="1:26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R37">
        <v>99</v>
      </c>
      <c r="S37">
        <v>12</v>
      </c>
      <c r="T37">
        <f t="shared" si="11"/>
        <v>1185</v>
      </c>
      <c r="U37" s="3">
        <f t="shared" si="10"/>
        <v>162452.40349983433</v>
      </c>
      <c r="V37" s="3">
        <f t="shared" si="2"/>
        <v>59109.847047654795</v>
      </c>
      <c r="Y37" s="25"/>
      <c r="Z37" s="26"/>
    </row>
    <row r="38" spans="1:26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R38">
        <v>100</v>
      </c>
      <c r="S38">
        <v>1</v>
      </c>
      <c r="T38">
        <f t="shared" si="11"/>
        <v>1185</v>
      </c>
      <c r="U38" s="3">
        <f t="shared" si="10"/>
        <v>165374.85455029487</v>
      </c>
      <c r="V38" s="3">
        <f t="shared" si="2"/>
        <v>61348.972653337973</v>
      </c>
      <c r="Y38" s="25"/>
      <c r="Z38" s="26"/>
    </row>
    <row r="39" spans="1:26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R39">
        <v>100</v>
      </c>
      <c r="S39">
        <v>2</v>
      </c>
      <c r="T39">
        <f t="shared" si="11"/>
        <v>1185</v>
      </c>
      <c r="U39" s="3">
        <f t="shared" si="10"/>
        <v>168349.87927746525</v>
      </c>
      <c r="V39" s="3">
        <f t="shared" si="2"/>
        <v>63628.029332322505</v>
      </c>
      <c r="Y39" s="25"/>
      <c r="Z39" s="26"/>
    </row>
    <row r="40" spans="1:26" x14ac:dyDescent="0.25">
      <c r="R40">
        <v>100</v>
      </c>
      <c r="S40">
        <v>3</v>
      </c>
      <c r="T40">
        <f t="shared" si="11"/>
        <v>1185</v>
      </c>
      <c r="U40" s="3">
        <f t="shared" si="10"/>
        <v>171378.42345988381</v>
      </c>
      <c r="V40" s="3">
        <f t="shared" si="2"/>
        <v>65947.729188748926</v>
      </c>
      <c r="Y40" s="25"/>
      <c r="Z40" s="26"/>
    </row>
    <row r="41" spans="1:26" x14ac:dyDescent="0.25">
      <c r="R41">
        <v>100</v>
      </c>
      <c r="S41">
        <v>4</v>
      </c>
      <c r="T41">
        <f t="shared" si="11"/>
        <v>1185</v>
      </c>
      <c r="U41" s="3">
        <f t="shared" si="10"/>
        <v>174461.44989025066</v>
      </c>
      <c r="V41" s="3">
        <f t="shared" si="2"/>
        <v>68308.797025948283</v>
      </c>
      <c r="Y41" s="25"/>
      <c r="Z41" s="26"/>
    </row>
    <row r="42" spans="1:26" x14ac:dyDescent="0.25">
      <c r="R42">
        <v>100</v>
      </c>
      <c r="S42">
        <v>5</v>
      </c>
      <c r="T42">
        <f t="shared" si="11"/>
        <v>1185</v>
      </c>
      <c r="U42" s="3">
        <f t="shared" si="10"/>
        <v>177599.93868150547</v>
      </c>
      <c r="V42" s="3">
        <f t="shared" si="2"/>
        <v>70711.970572911028</v>
      </c>
      <c r="Y42" s="25"/>
      <c r="Z42" s="26"/>
    </row>
    <row r="43" spans="1:26" x14ac:dyDescent="0.25">
      <c r="R43">
        <v>100</v>
      </c>
      <c r="S43" s="9">
        <v>6</v>
      </c>
      <c r="T43">
        <f t="shared" si="11"/>
        <v>1185</v>
      </c>
      <c r="U43" s="3">
        <f t="shared" si="10"/>
        <v>180794.88757841129</v>
      </c>
      <c r="V43" s="3">
        <f t="shared" si="2"/>
        <v>73158.000714794616</v>
      </c>
      <c r="Y43" s="25"/>
      <c r="Z43" s="26"/>
    </row>
    <row r="44" spans="1:26" x14ac:dyDescent="0.25">
      <c r="R44">
        <v>100</v>
      </c>
      <c r="S44">
        <v>7</v>
      </c>
      <c r="T44">
        <f t="shared" si="11"/>
        <v>1185</v>
      </c>
      <c r="U44" s="3">
        <f t="shared" si="10"/>
        <v>184047.31227474374</v>
      </c>
      <c r="V44" s="3">
        <f t="shared" si="2"/>
        <v>75647.651727541786</v>
      </c>
      <c r="Y44" s="25"/>
      <c r="Z44" s="26"/>
    </row>
    <row r="45" spans="1:26" x14ac:dyDescent="0.25">
      <c r="R45">
        <v>100</v>
      </c>
      <c r="S45">
        <v>8</v>
      </c>
      <c r="T45">
        <f t="shared" si="11"/>
        <v>1185</v>
      </c>
      <c r="U45" s="3">
        <f t="shared" si="10"/>
        <v>187358.24673618624</v>
      </c>
      <c r="V45" s="3">
        <f t="shared" si="2"/>
        <v>78181.701516682951</v>
      </c>
      <c r="Y45" s="25"/>
      <c r="Z45" s="26"/>
    </row>
    <row r="46" spans="1:26" x14ac:dyDescent="0.25">
      <c r="R46">
        <v>100</v>
      </c>
      <c r="S46">
        <v>9</v>
      </c>
      <c r="T46">
        <f t="shared" si="11"/>
        <v>1185</v>
      </c>
      <c r="U46" s="3">
        <f t="shared" si="10"/>
        <v>190728.74352903408</v>
      </c>
      <c r="V46" s="3">
        <f t="shared" si="2"/>
        <v>80760.941860397128</v>
      </c>
      <c r="Y46" s="25"/>
      <c r="Z46" s="26"/>
    </row>
    <row r="47" spans="1:26" x14ac:dyDescent="0.25">
      <c r="R47">
        <v>100</v>
      </c>
      <c r="S47">
        <v>10</v>
      </c>
      <c r="T47">
        <f t="shared" si="11"/>
        <v>1185</v>
      </c>
      <c r="U47" s="3">
        <f t="shared" si="10"/>
        <v>194159.87415481158</v>
      </c>
      <c r="V47" s="3">
        <f t="shared" si="2"/>
        <v>83386.178656907548</v>
      </c>
      <c r="Y47" s="25"/>
      <c r="Z47" s="26"/>
    </row>
    <row r="48" spans="1:26" x14ac:dyDescent="0.25">
      <c r="R48">
        <v>100</v>
      </c>
      <c r="S48">
        <v>11</v>
      </c>
      <c r="T48">
        <f t="shared" si="11"/>
        <v>1185</v>
      </c>
      <c r="U48" s="3">
        <f t="shared" si="10"/>
        <v>197652.72939090905</v>
      </c>
      <c r="V48" s="3">
        <f t="shared" si="2"/>
        <v>86058.232176289064</v>
      </c>
      <c r="Y48" s="25"/>
      <c r="Z48" s="26"/>
    </row>
    <row r="49" spans="1:26" x14ac:dyDescent="0.25">
      <c r="R49">
        <v>100</v>
      </c>
      <c r="S49">
        <v>12</v>
      </c>
      <c r="T49">
        <f t="shared" si="11"/>
        <v>1185</v>
      </c>
      <c r="U49" s="3">
        <f t="shared" si="10"/>
        <v>201208.41963734757</v>
      </c>
      <c r="V49" s="3">
        <f t="shared" si="2"/>
        <v>88777.937316766227</v>
      </c>
      <c r="Y49" s="25"/>
      <c r="Z49" s="26"/>
    </row>
    <row r="50" spans="1:26" x14ac:dyDescent="0.25">
      <c r="Y50" s="25"/>
      <c r="Z50" s="26"/>
    </row>
    <row r="51" spans="1:26" x14ac:dyDescent="0.25">
      <c r="Y51" s="25"/>
      <c r="Z51" s="26"/>
    </row>
    <row r="52" spans="1:26" x14ac:dyDescent="0.25">
      <c r="Y52" s="25"/>
      <c r="Z52" s="26"/>
    </row>
    <row r="53" spans="1:26" x14ac:dyDescent="0.25">
      <c r="Y53" s="25"/>
      <c r="Z53" s="26"/>
    </row>
    <row r="54" spans="1:26" x14ac:dyDescent="0.25">
      <c r="Y54" s="25"/>
      <c r="Z54" s="26"/>
    </row>
    <row r="55" spans="1:26" x14ac:dyDescent="0.25">
      <c r="Y55" s="25"/>
      <c r="Z55" s="26"/>
    </row>
    <row r="56" spans="1:26" x14ac:dyDescent="0.25">
      <c r="Y56" s="25"/>
      <c r="Z56" s="26"/>
    </row>
    <row r="57" spans="1:26" x14ac:dyDescent="0.25">
      <c r="Y57" s="25"/>
      <c r="Z57" s="26"/>
    </row>
    <row r="58" spans="1:26" x14ac:dyDescent="0.25">
      <c r="Y58" s="25"/>
      <c r="Z58" s="26"/>
    </row>
    <row r="59" spans="1:26" x14ac:dyDescent="0.25">
      <c r="Y59" s="25"/>
      <c r="Z59" s="26"/>
    </row>
    <row r="60" spans="1:26" x14ac:dyDescent="0.25">
      <c r="Y60" s="25"/>
      <c r="Z60" s="26"/>
    </row>
    <row r="61" spans="1:26" x14ac:dyDescent="0.25">
      <c r="Y61" s="25"/>
      <c r="Z61" s="26"/>
    </row>
    <row r="62" spans="1:26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6"/>
      <c r="N62" s="26"/>
      <c r="O62" s="26"/>
      <c r="Y62" s="25"/>
      <c r="Z62" s="26"/>
    </row>
    <row r="63" spans="1:26" x14ac:dyDescent="0.25">
      <c r="Y63" s="25"/>
      <c r="Z63" s="26"/>
    </row>
    <row r="64" spans="1:26" x14ac:dyDescent="0.25">
      <c r="Y64" s="25"/>
      <c r="Z64" s="26"/>
    </row>
    <row r="65" spans="14:26" x14ac:dyDescent="0.25">
      <c r="N65" t="s">
        <v>25</v>
      </c>
      <c r="Y65" s="25"/>
      <c r="Z65" s="26"/>
    </row>
    <row r="66" spans="14:26" x14ac:dyDescent="0.25">
      <c r="O66" t="s">
        <v>25</v>
      </c>
      <c r="Y66" s="25"/>
      <c r="Z66" s="26"/>
    </row>
    <row r="67" spans="14:26" x14ac:dyDescent="0.25">
      <c r="Y67" s="25"/>
      <c r="Z67" s="26"/>
    </row>
    <row r="68" spans="14:26" x14ac:dyDescent="0.25">
      <c r="Y68" s="25"/>
      <c r="Z68" s="26"/>
    </row>
    <row r="69" spans="14:26" x14ac:dyDescent="0.25">
      <c r="Y69" s="25"/>
      <c r="Z69" s="26"/>
    </row>
    <row r="70" spans="14:26" x14ac:dyDescent="0.25">
      <c r="Y70" s="25"/>
      <c r="Z70" s="26"/>
    </row>
    <row r="71" spans="14:26" x14ac:dyDescent="0.25">
      <c r="Y71" s="25"/>
      <c r="Z71" s="26"/>
    </row>
    <row r="72" spans="14:26" x14ac:dyDescent="0.25">
      <c r="Y72" s="25"/>
      <c r="Z72" s="26"/>
    </row>
    <row r="73" spans="14:26" x14ac:dyDescent="0.25">
      <c r="Y73" s="25"/>
      <c r="Z73" s="26"/>
    </row>
    <row r="74" spans="14:26" x14ac:dyDescent="0.25">
      <c r="Y74" s="25"/>
      <c r="Z74" s="26"/>
    </row>
    <row r="75" spans="14:26" x14ac:dyDescent="0.25">
      <c r="Y75" s="25"/>
      <c r="Z75" s="26"/>
    </row>
    <row r="76" spans="14:26" x14ac:dyDescent="0.25">
      <c r="Y76" s="25"/>
      <c r="Z76" s="26"/>
    </row>
    <row r="77" spans="14:26" x14ac:dyDescent="0.25">
      <c r="Y77" s="25"/>
      <c r="Z77" s="26"/>
    </row>
    <row r="78" spans="14:26" x14ac:dyDescent="0.25">
      <c r="Y78" s="25"/>
      <c r="Z78" s="26"/>
    </row>
    <row r="79" spans="14:26" x14ac:dyDescent="0.25">
      <c r="Y79" s="25"/>
      <c r="Z79" s="26"/>
    </row>
    <row r="80" spans="14:26" x14ac:dyDescent="0.25">
      <c r="Y80" s="25"/>
      <c r="Z80" s="26"/>
    </row>
    <row r="81" spans="25:26" x14ac:dyDescent="0.25">
      <c r="Y81" s="25"/>
      <c r="Z81" s="26"/>
    </row>
    <row r="82" spans="25:26" x14ac:dyDescent="0.25">
      <c r="Y82" s="25"/>
      <c r="Z82" s="26"/>
    </row>
    <row r="83" spans="25:26" x14ac:dyDescent="0.25">
      <c r="Y83" s="25"/>
      <c r="Z83" s="26"/>
    </row>
    <row r="84" spans="25:26" x14ac:dyDescent="0.25">
      <c r="Y84" s="25"/>
      <c r="Z84" s="26"/>
    </row>
    <row r="85" spans="25:26" x14ac:dyDescent="0.25">
      <c r="Y85" s="25"/>
      <c r="Z85" s="26"/>
    </row>
    <row r="86" spans="25:26" x14ac:dyDescent="0.25">
      <c r="Y86" s="25"/>
      <c r="Z86" s="26"/>
    </row>
    <row r="87" spans="25:26" x14ac:dyDescent="0.25">
      <c r="Y87" s="25"/>
      <c r="Z87" s="26"/>
    </row>
    <row r="88" spans="25:26" x14ac:dyDescent="0.25">
      <c r="Y88" s="25"/>
      <c r="Z88" s="26"/>
    </row>
    <row r="89" spans="25:26" x14ac:dyDescent="0.25">
      <c r="Y89" s="25"/>
      <c r="Z89" s="26"/>
    </row>
    <row r="90" spans="25:26" x14ac:dyDescent="0.25">
      <c r="Y90" s="25"/>
      <c r="Z90" s="26"/>
    </row>
    <row r="91" spans="25:26" x14ac:dyDescent="0.25">
      <c r="Y91" s="25"/>
      <c r="Z91" s="26"/>
    </row>
    <row r="92" spans="25:26" x14ac:dyDescent="0.25">
      <c r="Y92" s="25"/>
      <c r="Z92" s="26"/>
    </row>
    <row r="93" spans="25:26" x14ac:dyDescent="0.25">
      <c r="Y93" s="25"/>
      <c r="Z93" s="26"/>
    </row>
    <row r="94" spans="25:26" x14ac:dyDescent="0.25">
      <c r="Y94" s="25"/>
      <c r="Z94" s="26"/>
    </row>
    <row r="95" spans="25:26" x14ac:dyDescent="0.25">
      <c r="Y95" s="25"/>
      <c r="Z95" s="26"/>
    </row>
    <row r="96" spans="25:26" x14ac:dyDescent="0.25">
      <c r="Y96" s="25"/>
      <c r="Z96" s="26"/>
    </row>
    <row r="97" spans="25:26" x14ac:dyDescent="0.25">
      <c r="Y97" s="25"/>
      <c r="Z97" s="26"/>
    </row>
    <row r="98" spans="25:26" x14ac:dyDescent="0.25">
      <c r="Y98" s="25"/>
      <c r="Z98" s="26"/>
    </row>
    <row r="99" spans="25:26" x14ac:dyDescent="0.25">
      <c r="Y99" s="25"/>
      <c r="Z99" s="26"/>
    </row>
    <row r="100" spans="25:26" x14ac:dyDescent="0.25">
      <c r="Y100" s="25"/>
      <c r="Z100" s="26"/>
    </row>
    <row r="101" spans="25:26" x14ac:dyDescent="0.25">
      <c r="Y101" s="25"/>
      <c r="Z101" s="26"/>
    </row>
    <row r="102" spans="25:26" x14ac:dyDescent="0.25">
      <c r="Y102" s="25"/>
      <c r="Z102" s="26"/>
    </row>
    <row r="103" spans="25:26" x14ac:dyDescent="0.25">
      <c r="Y103" s="25"/>
      <c r="Z103" s="26"/>
    </row>
    <row r="104" spans="25:26" x14ac:dyDescent="0.25">
      <c r="Y104" s="25"/>
      <c r="Z104" s="26"/>
    </row>
    <row r="105" spans="25:26" x14ac:dyDescent="0.25">
      <c r="Y105" s="25"/>
      <c r="Z105" s="26"/>
    </row>
    <row r="106" spans="25:26" x14ac:dyDescent="0.25">
      <c r="Y106" s="25"/>
      <c r="Z106" s="26"/>
    </row>
    <row r="107" spans="25:26" x14ac:dyDescent="0.25">
      <c r="Y107" s="25"/>
      <c r="Z107" s="26"/>
    </row>
    <row r="108" spans="25:26" x14ac:dyDescent="0.25">
      <c r="Y108" s="25"/>
      <c r="Z108" s="26"/>
    </row>
    <row r="109" spans="25:26" x14ac:dyDescent="0.25">
      <c r="Y109" s="25"/>
      <c r="Z109" s="26"/>
    </row>
    <row r="110" spans="25:26" x14ac:dyDescent="0.25">
      <c r="Y110" s="25"/>
      <c r="Z110" s="26"/>
    </row>
    <row r="111" spans="25:26" x14ac:dyDescent="0.25">
      <c r="Y111" s="25"/>
      <c r="Z111" s="26"/>
    </row>
    <row r="112" spans="25:26" x14ac:dyDescent="0.25">
      <c r="Y112" s="25"/>
      <c r="Z112" s="26"/>
    </row>
    <row r="113" spans="25:26" x14ac:dyDescent="0.25">
      <c r="Y113" s="25"/>
      <c r="Z113" s="26"/>
    </row>
    <row r="114" spans="25:26" x14ac:dyDescent="0.25">
      <c r="Y114" s="25"/>
      <c r="Z114" s="26"/>
    </row>
    <row r="115" spans="25:26" x14ac:dyDescent="0.25">
      <c r="Y115" s="25"/>
      <c r="Z115" s="26"/>
    </row>
    <row r="116" spans="25:26" x14ac:dyDescent="0.25">
      <c r="Y116" s="25"/>
      <c r="Z116" s="26"/>
    </row>
    <row r="117" spans="25:26" x14ac:dyDescent="0.25">
      <c r="Y117" s="25"/>
      <c r="Z117" s="26"/>
    </row>
    <row r="118" spans="25:26" x14ac:dyDescent="0.25">
      <c r="Y118" s="25"/>
      <c r="Z118" s="26"/>
    </row>
    <row r="119" spans="25:26" x14ac:dyDescent="0.25">
      <c r="Y119" s="25"/>
      <c r="Z119" s="26"/>
    </row>
    <row r="120" spans="25:26" x14ac:dyDescent="0.25">
      <c r="Y120" s="25"/>
      <c r="Z120" s="26"/>
    </row>
    <row r="121" spans="25:26" x14ac:dyDescent="0.25">
      <c r="Y121" s="25"/>
      <c r="Z121" s="26"/>
    </row>
    <row r="122" spans="25:26" x14ac:dyDescent="0.25">
      <c r="Y122" s="25"/>
      <c r="Z122" s="26"/>
    </row>
    <row r="123" spans="25:26" x14ac:dyDescent="0.25">
      <c r="Y123" s="25"/>
      <c r="Z123" s="26"/>
    </row>
    <row r="124" spans="25:26" x14ac:dyDescent="0.25">
      <c r="Y124" s="25"/>
      <c r="Z124" s="26"/>
    </row>
    <row r="125" spans="25:26" x14ac:dyDescent="0.25">
      <c r="Y125" s="25"/>
      <c r="Z125" s="26"/>
    </row>
    <row r="126" spans="25:26" x14ac:dyDescent="0.25">
      <c r="Y126" s="25"/>
      <c r="Z126" s="26"/>
    </row>
    <row r="127" spans="25:26" x14ac:dyDescent="0.25">
      <c r="Y127" s="25"/>
      <c r="Z127" s="26"/>
    </row>
    <row r="128" spans="25:26" x14ac:dyDescent="0.25">
      <c r="Y128" s="25"/>
      <c r="Z128" s="26"/>
    </row>
    <row r="129" spans="25:26" x14ac:dyDescent="0.25">
      <c r="Y129" s="25"/>
      <c r="Z129" s="26"/>
    </row>
    <row r="130" spans="25:26" x14ac:dyDescent="0.25">
      <c r="Y130" s="25"/>
      <c r="Z130" s="26"/>
    </row>
    <row r="131" spans="25:26" x14ac:dyDescent="0.25">
      <c r="Y131" s="25"/>
      <c r="Z131" s="26"/>
    </row>
    <row r="132" spans="25:26" x14ac:dyDescent="0.25">
      <c r="Y132" s="25"/>
      <c r="Z132" s="26"/>
    </row>
    <row r="133" spans="25:26" x14ac:dyDescent="0.25">
      <c r="Y133" s="25"/>
      <c r="Z133" s="26"/>
    </row>
    <row r="134" spans="25:26" x14ac:dyDescent="0.25">
      <c r="Y134" s="25"/>
      <c r="Z134" s="26"/>
    </row>
    <row r="135" spans="25:26" x14ac:dyDescent="0.25">
      <c r="Y135" s="25"/>
      <c r="Z135" s="26"/>
    </row>
    <row r="136" spans="25:26" x14ac:dyDescent="0.25">
      <c r="Y136" s="25"/>
      <c r="Z136" s="26"/>
    </row>
    <row r="137" spans="25:26" x14ac:dyDescent="0.25">
      <c r="Y137" s="25"/>
      <c r="Z137" s="26"/>
    </row>
    <row r="138" spans="25:26" x14ac:dyDescent="0.25">
      <c r="Y138" s="25"/>
      <c r="Z138" s="26"/>
    </row>
    <row r="139" spans="25:26" x14ac:dyDescent="0.25">
      <c r="Y139" s="25"/>
      <c r="Z139" s="26"/>
    </row>
    <row r="140" spans="25:26" x14ac:dyDescent="0.25">
      <c r="Y140" s="25"/>
      <c r="Z140" s="26"/>
    </row>
    <row r="141" spans="25:26" x14ac:dyDescent="0.25">
      <c r="Y141" s="25"/>
      <c r="Z141" s="26"/>
    </row>
    <row r="142" spans="25:26" x14ac:dyDescent="0.25">
      <c r="Y142" s="25"/>
      <c r="Z142" s="26"/>
    </row>
    <row r="143" spans="25:26" x14ac:dyDescent="0.25">
      <c r="Y143" s="25"/>
      <c r="Z143" s="26"/>
    </row>
    <row r="144" spans="25:26" x14ac:dyDescent="0.25">
      <c r="Y144" s="25"/>
      <c r="Z144" s="26"/>
    </row>
    <row r="145" spans="25:26" x14ac:dyDescent="0.25">
      <c r="Y145" s="25"/>
      <c r="Z145" s="26"/>
    </row>
    <row r="146" spans="25:26" x14ac:dyDescent="0.25">
      <c r="Y146" s="25"/>
      <c r="Z146" s="26"/>
    </row>
    <row r="147" spans="25:26" x14ac:dyDescent="0.25">
      <c r="Y147" s="25"/>
      <c r="Z147" s="26"/>
    </row>
    <row r="148" spans="25:26" x14ac:dyDescent="0.25">
      <c r="Y148" s="25"/>
      <c r="Z148" s="26"/>
    </row>
    <row r="149" spans="25:26" x14ac:dyDescent="0.25">
      <c r="Y149" s="25"/>
      <c r="Z149" s="26"/>
    </row>
    <row r="150" spans="25:26" x14ac:dyDescent="0.25">
      <c r="Y150" s="25"/>
      <c r="Z150" s="26"/>
    </row>
    <row r="151" spans="25:26" x14ac:dyDescent="0.25">
      <c r="Y151" s="25"/>
      <c r="Z151" s="26"/>
    </row>
    <row r="152" spans="25:26" x14ac:dyDescent="0.25">
      <c r="Y152" s="25"/>
      <c r="Z152" s="26"/>
    </row>
    <row r="153" spans="25:26" x14ac:dyDescent="0.25">
      <c r="Y153" s="25"/>
      <c r="Z153" s="26"/>
    </row>
    <row r="154" spans="25:26" x14ac:dyDescent="0.25">
      <c r="Y154" s="25"/>
      <c r="Z154" s="26"/>
    </row>
    <row r="155" spans="25:26" x14ac:dyDescent="0.25">
      <c r="Y155" s="25"/>
      <c r="Z155" s="26"/>
    </row>
    <row r="156" spans="25:26" x14ac:dyDescent="0.25">
      <c r="Y156" s="25"/>
      <c r="Z156" s="26"/>
    </row>
    <row r="157" spans="25:26" x14ac:dyDescent="0.25">
      <c r="Y157" s="25"/>
      <c r="Z157" s="26"/>
    </row>
    <row r="158" spans="25:26" x14ac:dyDescent="0.25">
      <c r="Y158" s="25"/>
      <c r="Z158" s="26"/>
    </row>
    <row r="159" spans="25:26" x14ac:dyDescent="0.25">
      <c r="Y159" s="25"/>
      <c r="Z159" s="26"/>
    </row>
    <row r="160" spans="25:26" x14ac:dyDescent="0.25">
      <c r="Y160" s="25"/>
      <c r="Z160" s="26"/>
    </row>
    <row r="161" spans="25:26" x14ac:dyDescent="0.25">
      <c r="Y161" s="25"/>
      <c r="Z161" s="26"/>
    </row>
    <row r="162" spans="25:26" x14ac:dyDescent="0.25">
      <c r="Y162" s="25"/>
      <c r="Z162" s="26"/>
    </row>
    <row r="163" spans="25:26" x14ac:dyDescent="0.25">
      <c r="Y163" s="25"/>
      <c r="Z163" s="26"/>
    </row>
    <row r="164" spans="25:26" x14ac:dyDescent="0.25">
      <c r="Y164" s="25"/>
      <c r="Z164" s="26"/>
    </row>
    <row r="165" spans="25:26" x14ac:dyDescent="0.25">
      <c r="Y165" s="25"/>
      <c r="Z165" s="26"/>
    </row>
    <row r="166" spans="25:26" x14ac:dyDescent="0.25">
      <c r="Y166" s="25"/>
      <c r="Z166" s="26"/>
    </row>
    <row r="167" spans="25:26" x14ac:dyDescent="0.25">
      <c r="Y167" s="25"/>
      <c r="Z167" s="26"/>
    </row>
    <row r="168" spans="25:26" x14ac:dyDescent="0.25">
      <c r="Y168" s="25"/>
      <c r="Z168" s="26"/>
    </row>
    <row r="169" spans="25:26" x14ac:dyDescent="0.25">
      <c r="Y169" s="25"/>
      <c r="Z169" s="26"/>
    </row>
    <row r="170" spans="25:26" x14ac:dyDescent="0.25">
      <c r="Y170" s="25"/>
      <c r="Z170" s="26"/>
    </row>
    <row r="171" spans="25:26" x14ac:dyDescent="0.25">
      <c r="Y171" s="25"/>
      <c r="Z171" s="26"/>
    </row>
    <row r="172" spans="25:26" x14ac:dyDescent="0.25">
      <c r="Y172" s="25"/>
      <c r="Z172" s="26"/>
    </row>
    <row r="173" spans="25:26" x14ac:dyDescent="0.25">
      <c r="Y173" s="25"/>
      <c r="Z173" s="26"/>
    </row>
    <row r="174" spans="25:26" x14ac:dyDescent="0.25">
      <c r="Y174" s="25"/>
      <c r="Z174" s="26"/>
    </row>
    <row r="175" spans="25:26" x14ac:dyDescent="0.25">
      <c r="Y175" s="25"/>
      <c r="Z175" s="26"/>
    </row>
    <row r="176" spans="25:26" x14ac:dyDescent="0.25">
      <c r="Y176" s="25"/>
      <c r="Z176" s="26"/>
    </row>
    <row r="177" spans="25:26" x14ac:dyDescent="0.25">
      <c r="Y177" s="25"/>
      <c r="Z177" s="26"/>
    </row>
    <row r="178" spans="25:26" x14ac:dyDescent="0.25">
      <c r="Y178" s="25"/>
      <c r="Z178" s="26"/>
    </row>
    <row r="179" spans="25:26" x14ac:dyDescent="0.25">
      <c r="Y179" s="25"/>
      <c r="Z179" s="26"/>
    </row>
    <row r="180" spans="25:26" x14ac:dyDescent="0.25">
      <c r="Y180" s="25"/>
      <c r="Z180" s="26"/>
    </row>
    <row r="181" spans="25:26" x14ac:dyDescent="0.25">
      <c r="Y181" s="25"/>
      <c r="Z181" s="26"/>
    </row>
    <row r="182" spans="25:26" x14ac:dyDescent="0.25">
      <c r="Y182" s="25"/>
      <c r="Z182" s="26"/>
    </row>
    <row r="183" spans="25:26" x14ac:dyDescent="0.25">
      <c r="Y183" s="25"/>
      <c r="Z183" s="26"/>
    </row>
    <row r="184" spans="25:26" x14ac:dyDescent="0.25">
      <c r="Y184" s="25"/>
      <c r="Z184" s="26"/>
    </row>
    <row r="185" spans="25:26" x14ac:dyDescent="0.25">
      <c r="Y185" s="25"/>
      <c r="Z185" s="26"/>
    </row>
    <row r="186" spans="25:26" x14ac:dyDescent="0.25">
      <c r="Y186" s="25"/>
      <c r="Z186" s="26"/>
    </row>
    <row r="187" spans="25:26" x14ac:dyDescent="0.25">
      <c r="Y187" s="25"/>
      <c r="Z187" s="26"/>
    </row>
    <row r="188" spans="25:26" x14ac:dyDescent="0.25">
      <c r="Y188" s="25"/>
      <c r="Z188" s="26"/>
    </row>
    <row r="189" spans="25:26" x14ac:dyDescent="0.25">
      <c r="Y189" s="25"/>
      <c r="Z189" s="26"/>
    </row>
    <row r="190" spans="25:26" x14ac:dyDescent="0.25">
      <c r="Y190" s="25"/>
      <c r="Z190" s="26"/>
    </row>
    <row r="191" spans="25:26" x14ac:dyDescent="0.25">
      <c r="Y191" s="25"/>
      <c r="Z191" s="26"/>
    </row>
    <row r="192" spans="25:26" x14ac:dyDescent="0.25">
      <c r="Y192" s="25"/>
      <c r="Z192" s="26"/>
    </row>
    <row r="193" spans="25:27" x14ac:dyDescent="0.25">
      <c r="Y193" s="25"/>
      <c r="Z193" s="26"/>
    </row>
    <row r="194" spans="25:27" x14ac:dyDescent="0.25">
      <c r="Y194" s="25"/>
      <c r="Z194" s="26"/>
    </row>
    <row r="195" spans="25:27" x14ac:dyDescent="0.25">
      <c r="Y195" s="25"/>
      <c r="Z195" s="26"/>
    </row>
    <row r="196" spans="25:27" x14ac:dyDescent="0.25">
      <c r="Y196" s="25"/>
      <c r="Z196" s="26"/>
    </row>
    <row r="197" spans="25:27" x14ac:dyDescent="0.25">
      <c r="Y197" s="25"/>
      <c r="Z197" s="26"/>
    </row>
    <row r="198" spans="25:27" x14ac:dyDescent="0.25">
      <c r="Y198" s="25"/>
      <c r="Z198" s="26"/>
    </row>
    <row r="199" spans="25:27" x14ac:dyDescent="0.25">
      <c r="Y199" s="25"/>
      <c r="Z199" s="26"/>
    </row>
    <row r="200" spans="25:27" x14ac:dyDescent="0.25">
      <c r="Y200" s="25"/>
      <c r="Z200" s="26"/>
    </row>
    <row r="201" spans="25:27" x14ac:dyDescent="0.25">
      <c r="Y201" s="25"/>
      <c r="Z201" s="26"/>
    </row>
    <row r="202" spans="25:27" x14ac:dyDescent="0.25">
      <c r="Y202" s="25"/>
      <c r="Z202" s="26"/>
    </row>
    <row r="203" spans="25:27" x14ac:dyDescent="0.25">
      <c r="Y203" s="25"/>
      <c r="Z203" s="26"/>
    </row>
    <row r="204" spans="25:27" x14ac:dyDescent="0.25">
      <c r="Y204" s="25"/>
      <c r="Z204" s="26"/>
    </row>
    <row r="205" spans="25:27" x14ac:dyDescent="0.25">
      <c r="Z205" s="25"/>
      <c r="AA205" s="26"/>
    </row>
    <row r="206" spans="25:27" x14ac:dyDescent="0.25">
      <c r="Z206" s="25"/>
      <c r="AA206" s="26"/>
    </row>
    <row r="207" spans="25:27" x14ac:dyDescent="0.25">
      <c r="Z207" s="25"/>
      <c r="AA207" s="26"/>
    </row>
    <row r="208" spans="25:27" x14ac:dyDescent="0.25">
      <c r="Z208" s="25"/>
      <c r="AA208" s="26"/>
    </row>
    <row r="209" spans="26:27" x14ac:dyDescent="0.25">
      <c r="Z209" s="25"/>
      <c r="AA209" s="26"/>
    </row>
    <row r="210" spans="26:27" x14ac:dyDescent="0.25">
      <c r="Z210" s="25"/>
      <c r="AA210" s="26"/>
    </row>
    <row r="211" spans="26:27" x14ac:dyDescent="0.25">
      <c r="Z211" s="25"/>
      <c r="AA211" s="26"/>
    </row>
    <row r="212" spans="26:27" x14ac:dyDescent="0.25">
      <c r="Z212" s="25"/>
      <c r="AA212" s="26"/>
    </row>
    <row r="213" spans="26:27" x14ac:dyDescent="0.25">
      <c r="Z213" s="25"/>
      <c r="AA213" s="26"/>
    </row>
    <row r="214" spans="26:27" x14ac:dyDescent="0.25">
      <c r="Z214" s="25"/>
      <c r="AA214" s="26"/>
    </row>
    <row r="215" spans="26:27" x14ac:dyDescent="0.25">
      <c r="Z215" s="25"/>
      <c r="AA215" s="26"/>
    </row>
    <row r="216" spans="26:27" x14ac:dyDescent="0.25">
      <c r="Z216" s="25"/>
      <c r="AA216" s="26"/>
    </row>
    <row r="217" spans="26:27" x14ac:dyDescent="0.25">
      <c r="Z217" s="25"/>
      <c r="AA217" s="26"/>
    </row>
    <row r="218" spans="26:27" x14ac:dyDescent="0.25">
      <c r="Z218" s="25"/>
      <c r="AA218" s="26"/>
    </row>
    <row r="219" spans="26:27" x14ac:dyDescent="0.25">
      <c r="Z219" s="25"/>
      <c r="AA219" s="26"/>
    </row>
    <row r="220" spans="26:27" x14ac:dyDescent="0.25">
      <c r="Z220" s="25"/>
      <c r="AA220" s="26"/>
    </row>
    <row r="221" spans="26:27" x14ac:dyDescent="0.25">
      <c r="Z221" s="25"/>
      <c r="AA221" s="26"/>
    </row>
    <row r="222" spans="26:27" x14ac:dyDescent="0.25">
      <c r="Z222" s="25"/>
      <c r="AA222" s="26"/>
    </row>
    <row r="223" spans="26:27" x14ac:dyDescent="0.25">
      <c r="Z223" s="25"/>
      <c r="AA223" s="26"/>
    </row>
    <row r="224" spans="26:27" x14ac:dyDescent="0.25">
      <c r="Z224" s="25"/>
      <c r="AA224" s="26"/>
    </row>
    <row r="225" spans="26:27" x14ac:dyDescent="0.25">
      <c r="Z225" s="25"/>
      <c r="AA225" s="26"/>
    </row>
    <row r="226" spans="26:27" x14ac:dyDescent="0.25">
      <c r="Z226" s="25"/>
      <c r="AA226" s="26"/>
    </row>
    <row r="227" spans="26:27" x14ac:dyDescent="0.25">
      <c r="Z227" s="25"/>
      <c r="AA227" s="26"/>
    </row>
    <row r="228" spans="26:27" x14ac:dyDescent="0.25">
      <c r="Z228" s="25"/>
      <c r="AA228" s="26"/>
    </row>
    <row r="229" spans="26:27" x14ac:dyDescent="0.25">
      <c r="Z229" s="25"/>
      <c r="AA229" s="26"/>
    </row>
    <row r="230" spans="26:27" x14ac:dyDescent="0.25">
      <c r="Z230" s="25"/>
      <c r="AA230" s="26"/>
    </row>
    <row r="231" spans="26:27" x14ac:dyDescent="0.25">
      <c r="Z231" s="25"/>
      <c r="AA231" s="26"/>
    </row>
    <row r="232" spans="26:27" x14ac:dyDescent="0.25">
      <c r="Z232" s="25"/>
      <c r="AA232" s="26"/>
    </row>
    <row r="233" spans="26:27" x14ac:dyDescent="0.25">
      <c r="Z233" s="25"/>
      <c r="AA233" s="26"/>
    </row>
    <row r="234" spans="26:27" x14ac:dyDescent="0.25">
      <c r="Z234" s="25"/>
      <c r="AA234" s="26"/>
    </row>
    <row r="235" spans="26:27" x14ac:dyDescent="0.25">
      <c r="Z235" s="25"/>
      <c r="AA235" s="26"/>
    </row>
    <row r="236" spans="26:27" x14ac:dyDescent="0.25">
      <c r="Z236" s="25"/>
      <c r="AA236" s="26"/>
    </row>
    <row r="237" spans="26:27" x14ac:dyDescent="0.25">
      <c r="Z237" s="25"/>
      <c r="AA237" s="26"/>
    </row>
    <row r="238" spans="26:27" x14ac:dyDescent="0.25">
      <c r="Z238" s="25"/>
      <c r="AA238" s="26"/>
    </row>
    <row r="239" spans="26:27" x14ac:dyDescent="0.25">
      <c r="Z239" s="25"/>
      <c r="AA239" s="26"/>
    </row>
    <row r="240" spans="26:27" x14ac:dyDescent="0.25">
      <c r="Z240" s="25"/>
      <c r="AA240" s="26"/>
    </row>
    <row r="241" spans="26:27" x14ac:dyDescent="0.25">
      <c r="Z241" s="25"/>
      <c r="AA241" s="26"/>
    </row>
    <row r="242" spans="26:27" x14ac:dyDescent="0.25">
      <c r="Z242" s="25"/>
      <c r="AA242" s="26"/>
    </row>
    <row r="243" spans="26:27" x14ac:dyDescent="0.25">
      <c r="Z243" s="25"/>
      <c r="AA243" s="26"/>
    </row>
    <row r="244" spans="26:27" x14ac:dyDescent="0.25">
      <c r="Z244" s="25"/>
      <c r="AA244" s="26"/>
    </row>
    <row r="245" spans="26:27" x14ac:dyDescent="0.25">
      <c r="Z245" s="25"/>
      <c r="AA245" s="26"/>
    </row>
    <row r="246" spans="26:27" x14ac:dyDescent="0.25">
      <c r="Z246" s="25"/>
      <c r="AA246" s="26"/>
    </row>
    <row r="247" spans="26:27" x14ac:dyDescent="0.25">
      <c r="Z247" s="25"/>
      <c r="AA247" s="26"/>
    </row>
    <row r="248" spans="26:27" x14ac:dyDescent="0.25">
      <c r="Z248" s="25"/>
      <c r="AA248" s="26"/>
    </row>
    <row r="249" spans="26:27" x14ac:dyDescent="0.25">
      <c r="Z249" s="25"/>
      <c r="AA249" s="26"/>
    </row>
    <row r="250" spans="26:27" x14ac:dyDescent="0.25">
      <c r="Z250" s="25"/>
      <c r="AA250" s="26"/>
    </row>
    <row r="251" spans="26:27" x14ac:dyDescent="0.25">
      <c r="Z251" s="25"/>
      <c r="AA251" s="26"/>
    </row>
    <row r="252" spans="26:27" x14ac:dyDescent="0.25">
      <c r="Z252" s="25"/>
      <c r="AA252" s="26"/>
    </row>
    <row r="253" spans="26:27" x14ac:dyDescent="0.25">
      <c r="Z253" s="25"/>
      <c r="AA253" s="26"/>
    </row>
    <row r="254" spans="26:27" x14ac:dyDescent="0.25">
      <c r="Z254" s="25"/>
      <c r="AA254" s="26"/>
    </row>
    <row r="255" spans="26:27" x14ac:dyDescent="0.25">
      <c r="Z255" s="25"/>
      <c r="AA255" s="26"/>
    </row>
    <row r="256" spans="26:27" x14ac:dyDescent="0.25">
      <c r="Z256" s="25"/>
      <c r="AA256" s="26"/>
    </row>
    <row r="257" spans="26:27" x14ac:dyDescent="0.25">
      <c r="Z257" s="25"/>
      <c r="AA257" s="26"/>
    </row>
    <row r="258" spans="26:27" x14ac:dyDescent="0.25">
      <c r="Z258" s="25"/>
      <c r="AA258" s="26"/>
    </row>
    <row r="259" spans="26:27" x14ac:dyDescent="0.25">
      <c r="Z259" s="25"/>
      <c r="AA259" s="26"/>
    </row>
    <row r="260" spans="26:27" x14ac:dyDescent="0.25">
      <c r="Z260" s="25"/>
      <c r="AA260" s="26"/>
    </row>
    <row r="261" spans="26:27" x14ac:dyDescent="0.25">
      <c r="Z261" s="25"/>
      <c r="AA261" s="26"/>
    </row>
    <row r="262" spans="26:27" x14ac:dyDescent="0.25">
      <c r="Z262" s="25"/>
      <c r="AA262" s="26"/>
    </row>
    <row r="263" spans="26:27" x14ac:dyDescent="0.25">
      <c r="Z263" s="25"/>
      <c r="AA263" s="26"/>
    </row>
    <row r="264" spans="26:27" x14ac:dyDescent="0.25">
      <c r="Z264" s="25"/>
      <c r="AA264" s="26"/>
    </row>
    <row r="265" spans="26:27" x14ac:dyDescent="0.25">
      <c r="Z265" s="25"/>
      <c r="AA265" s="26"/>
    </row>
    <row r="266" spans="26:27" x14ac:dyDescent="0.25">
      <c r="Z266" s="25"/>
      <c r="AA266" s="26"/>
    </row>
    <row r="267" spans="26:27" x14ac:dyDescent="0.25">
      <c r="Z267" s="25"/>
      <c r="AA267" s="26"/>
    </row>
    <row r="268" spans="26:27" x14ac:dyDescent="0.25">
      <c r="Z268" s="25"/>
      <c r="AA268" s="26"/>
    </row>
    <row r="269" spans="26:27" x14ac:dyDescent="0.25">
      <c r="Z269" s="25"/>
      <c r="AA269" s="26"/>
    </row>
    <row r="270" spans="26:27" x14ac:dyDescent="0.25">
      <c r="Z270" s="25"/>
      <c r="AA270" s="26"/>
    </row>
    <row r="271" spans="26:27" x14ac:dyDescent="0.25">
      <c r="Z271" s="25"/>
      <c r="AA271" s="26"/>
    </row>
    <row r="272" spans="26:27" x14ac:dyDescent="0.25">
      <c r="Z272" s="25"/>
      <c r="AA272" s="26"/>
    </row>
    <row r="273" spans="26:27" x14ac:dyDescent="0.25">
      <c r="Z273" s="25"/>
      <c r="AA273" s="26"/>
    </row>
    <row r="274" spans="26:27" x14ac:dyDescent="0.25">
      <c r="Z274" s="25"/>
      <c r="AA274" s="26"/>
    </row>
    <row r="275" spans="26:27" x14ac:dyDescent="0.25">
      <c r="Z275" s="25"/>
      <c r="AA275" s="26"/>
    </row>
    <row r="276" spans="26:27" x14ac:dyDescent="0.25">
      <c r="Z276" s="25"/>
      <c r="AA276" s="26"/>
    </row>
    <row r="277" spans="26:27" x14ac:dyDescent="0.25">
      <c r="Z277" s="25"/>
      <c r="AA277" s="26"/>
    </row>
    <row r="278" spans="26:27" x14ac:dyDescent="0.25">
      <c r="Z278" s="25"/>
      <c r="AA278" s="26"/>
    </row>
    <row r="279" spans="26:27" x14ac:dyDescent="0.25">
      <c r="Z279" s="25"/>
      <c r="AA279" s="26"/>
    </row>
    <row r="280" spans="26:27" x14ac:dyDescent="0.25">
      <c r="Z280" s="25"/>
      <c r="AA280" s="26"/>
    </row>
    <row r="281" spans="26:27" x14ac:dyDescent="0.25">
      <c r="Z281" s="25"/>
      <c r="AA281" s="26"/>
    </row>
    <row r="282" spans="26:27" x14ac:dyDescent="0.25">
      <c r="Z282" s="25"/>
      <c r="AA282" s="26"/>
    </row>
    <row r="283" spans="26:27" x14ac:dyDescent="0.25">
      <c r="Z283" s="25"/>
      <c r="AA283" s="26"/>
    </row>
    <row r="284" spans="26:27" x14ac:dyDescent="0.25">
      <c r="Z284" s="25"/>
      <c r="AA284" s="26"/>
    </row>
    <row r="285" spans="26:27" x14ac:dyDescent="0.25">
      <c r="Z285" s="25"/>
      <c r="AA285" s="26"/>
    </row>
    <row r="286" spans="26:27" x14ac:dyDescent="0.25">
      <c r="Z286" s="25"/>
      <c r="AA286" s="26"/>
    </row>
    <row r="287" spans="26:27" x14ac:dyDescent="0.25">
      <c r="Z287" s="25"/>
      <c r="AA287" s="26"/>
    </row>
    <row r="288" spans="26:27" x14ac:dyDescent="0.25">
      <c r="Z288" s="25"/>
      <c r="AA288" s="26"/>
    </row>
    <row r="289" spans="26:27" x14ac:dyDescent="0.25">
      <c r="Z289" s="25"/>
      <c r="AA289" s="26"/>
    </row>
    <row r="290" spans="26:27" x14ac:dyDescent="0.25">
      <c r="Z290" s="25"/>
      <c r="AA290" s="26"/>
    </row>
    <row r="291" spans="26:27" x14ac:dyDescent="0.25">
      <c r="Z291" s="25"/>
      <c r="AA291" s="26"/>
    </row>
    <row r="292" spans="26:27" x14ac:dyDescent="0.25">
      <c r="Z292" s="25"/>
      <c r="AA292" s="26"/>
    </row>
    <row r="293" spans="26:27" x14ac:dyDescent="0.25">
      <c r="Z293" s="25"/>
      <c r="AA293" s="26"/>
    </row>
    <row r="294" spans="26:27" x14ac:dyDescent="0.25">
      <c r="Z294" s="25"/>
      <c r="AA294" s="26"/>
    </row>
    <row r="295" spans="26:27" x14ac:dyDescent="0.25">
      <c r="Z295" s="25"/>
      <c r="AA295" s="26"/>
    </row>
    <row r="296" spans="26:27" x14ac:dyDescent="0.25">
      <c r="Z296" s="25"/>
      <c r="AA296" s="26"/>
    </row>
    <row r="297" spans="26:27" x14ac:dyDescent="0.25">
      <c r="Z297" s="25"/>
      <c r="AA297" s="26"/>
    </row>
    <row r="298" spans="26:27" x14ac:dyDescent="0.25">
      <c r="Z298" s="25"/>
      <c r="AA298" s="26"/>
    </row>
    <row r="299" spans="26:27" x14ac:dyDescent="0.25">
      <c r="Z299" s="25"/>
      <c r="AA299" s="26"/>
    </row>
    <row r="300" spans="26:27" x14ac:dyDescent="0.25">
      <c r="Z300" s="25"/>
      <c r="AA300" s="26"/>
    </row>
    <row r="301" spans="26:27" x14ac:dyDescent="0.25">
      <c r="Z301" s="25"/>
      <c r="AA301" s="26"/>
    </row>
    <row r="302" spans="26:27" x14ac:dyDescent="0.25">
      <c r="Z302" s="25"/>
      <c r="AA302" s="26"/>
    </row>
    <row r="303" spans="26:27" x14ac:dyDescent="0.25">
      <c r="Z303" s="25"/>
      <c r="AA303" s="26"/>
    </row>
    <row r="304" spans="26:27" x14ac:dyDescent="0.25">
      <c r="Z304" s="25"/>
      <c r="AA304" s="26"/>
    </row>
    <row r="305" spans="26:27" x14ac:dyDescent="0.25">
      <c r="Z305" s="25"/>
      <c r="AA305" s="26"/>
    </row>
    <row r="306" spans="26:27" x14ac:dyDescent="0.25">
      <c r="Z306" s="25"/>
      <c r="AA306" s="26"/>
    </row>
    <row r="307" spans="26:27" x14ac:dyDescent="0.25">
      <c r="Z307" s="25"/>
      <c r="AA307" s="26"/>
    </row>
    <row r="308" spans="26:27" x14ac:dyDescent="0.25">
      <c r="Z308" s="25"/>
      <c r="AA308" s="26"/>
    </row>
    <row r="309" spans="26:27" x14ac:dyDescent="0.25">
      <c r="Z309" s="25"/>
      <c r="AA309" s="26"/>
    </row>
    <row r="310" spans="26:27" x14ac:dyDescent="0.25">
      <c r="Z310" s="25"/>
      <c r="AA310" s="26"/>
    </row>
    <row r="311" spans="26:27" x14ac:dyDescent="0.25">
      <c r="Z311" s="25"/>
      <c r="AA311" s="26"/>
    </row>
    <row r="312" spans="26:27" x14ac:dyDescent="0.25">
      <c r="Z312" s="25"/>
      <c r="AA312" s="26"/>
    </row>
    <row r="313" spans="26:27" x14ac:dyDescent="0.25">
      <c r="Z313" s="25"/>
      <c r="AA313" s="26"/>
    </row>
    <row r="314" spans="26:27" x14ac:dyDescent="0.25">
      <c r="Z314" s="25"/>
      <c r="AA314" s="26"/>
    </row>
    <row r="315" spans="26:27" x14ac:dyDescent="0.25">
      <c r="Z315" s="25"/>
      <c r="AA315" s="26"/>
    </row>
    <row r="316" spans="26:27" x14ac:dyDescent="0.25">
      <c r="Z316" s="25"/>
      <c r="AA316" s="26"/>
    </row>
    <row r="317" spans="26:27" x14ac:dyDescent="0.25">
      <c r="Z317" s="25"/>
      <c r="AA317" s="26"/>
    </row>
    <row r="318" spans="26:27" x14ac:dyDescent="0.25">
      <c r="Z318" s="25"/>
      <c r="AA318" s="26"/>
    </row>
    <row r="319" spans="26:27" x14ac:dyDescent="0.25">
      <c r="Z319" s="25"/>
      <c r="AA319" s="26"/>
    </row>
    <row r="320" spans="26:27" x14ac:dyDescent="0.25">
      <c r="Z320" s="25"/>
      <c r="AA320" s="26"/>
    </row>
    <row r="321" spans="26:27" x14ac:dyDescent="0.25">
      <c r="Z321" s="25"/>
      <c r="AA321" s="26"/>
    </row>
    <row r="322" spans="26:27" x14ac:dyDescent="0.25">
      <c r="Z322" s="25"/>
      <c r="AA322" s="26"/>
    </row>
    <row r="323" spans="26:27" x14ac:dyDescent="0.25">
      <c r="Z323" s="25"/>
      <c r="AA323" s="26"/>
    </row>
    <row r="324" spans="26:27" x14ac:dyDescent="0.25">
      <c r="Z324" s="25"/>
      <c r="AA324" s="26"/>
    </row>
    <row r="325" spans="26:27" x14ac:dyDescent="0.25">
      <c r="Z325" s="25"/>
      <c r="AA325" s="26"/>
    </row>
    <row r="326" spans="26:27" x14ac:dyDescent="0.25">
      <c r="Z326" s="25"/>
      <c r="AA326" s="26"/>
    </row>
    <row r="327" spans="26:27" x14ac:dyDescent="0.25">
      <c r="Z327" s="25"/>
      <c r="AA327" s="26"/>
    </row>
    <row r="328" spans="26:27" x14ac:dyDescent="0.25">
      <c r="Z328" s="25"/>
      <c r="AA328" s="26"/>
    </row>
    <row r="329" spans="26:27" x14ac:dyDescent="0.25">
      <c r="Z329" s="25"/>
      <c r="AA329" s="26"/>
    </row>
    <row r="330" spans="26:27" x14ac:dyDescent="0.25">
      <c r="Z330" s="25"/>
      <c r="AA330" s="26"/>
    </row>
    <row r="331" spans="26:27" x14ac:dyDescent="0.25">
      <c r="Z331" s="25"/>
      <c r="AA331" s="26"/>
    </row>
    <row r="332" spans="26:27" x14ac:dyDescent="0.25">
      <c r="Z332" s="25"/>
      <c r="AA332" s="26"/>
    </row>
    <row r="333" spans="26:27" x14ac:dyDescent="0.25">
      <c r="Z333" s="25"/>
      <c r="AA333" s="26"/>
    </row>
    <row r="334" spans="26:27" x14ac:dyDescent="0.25">
      <c r="Z334" s="25"/>
      <c r="AA334" s="26"/>
    </row>
    <row r="335" spans="26:27" x14ac:dyDescent="0.25">
      <c r="Z335" s="25"/>
      <c r="AA335" s="26"/>
    </row>
    <row r="336" spans="26:27" x14ac:dyDescent="0.25">
      <c r="Z336" s="25"/>
      <c r="AA336" s="26"/>
    </row>
    <row r="337" spans="26:27" x14ac:dyDescent="0.25">
      <c r="Z337" s="25"/>
      <c r="AA337" s="26"/>
    </row>
    <row r="338" spans="26:27" x14ac:dyDescent="0.25">
      <c r="Z338" s="25"/>
      <c r="AA338" s="26"/>
    </row>
    <row r="339" spans="26:27" x14ac:dyDescent="0.25">
      <c r="Z339" s="25"/>
      <c r="AA339" s="26"/>
    </row>
    <row r="340" spans="26:27" x14ac:dyDescent="0.25">
      <c r="Z340" s="25"/>
      <c r="AA340" s="26"/>
    </row>
    <row r="341" spans="26:27" x14ac:dyDescent="0.25">
      <c r="Z341" s="25"/>
      <c r="AA341" s="26"/>
    </row>
    <row r="342" spans="26:27" x14ac:dyDescent="0.25">
      <c r="Z342" s="25"/>
      <c r="AA342" s="26"/>
    </row>
    <row r="343" spans="26:27" x14ac:dyDescent="0.25">
      <c r="Z343" s="25"/>
      <c r="AA343" s="26"/>
    </row>
    <row r="344" spans="26:27" x14ac:dyDescent="0.25">
      <c r="Z344" s="25"/>
      <c r="AA344" s="26"/>
    </row>
    <row r="345" spans="26:27" x14ac:dyDescent="0.25">
      <c r="Z345" s="25"/>
      <c r="AA345" s="26"/>
    </row>
    <row r="346" spans="26:27" x14ac:dyDescent="0.25">
      <c r="Z346" s="25"/>
      <c r="AA346" s="26"/>
    </row>
    <row r="347" spans="26:27" x14ac:dyDescent="0.25">
      <c r="Z347" s="25"/>
      <c r="AA347" s="26"/>
    </row>
    <row r="348" spans="26:27" x14ac:dyDescent="0.25">
      <c r="Z348" s="25"/>
      <c r="AA348" s="26"/>
    </row>
    <row r="349" spans="26:27" x14ac:dyDescent="0.25">
      <c r="Z349" s="25"/>
      <c r="AA349" s="26"/>
    </row>
    <row r="350" spans="26:27" x14ac:dyDescent="0.25">
      <c r="Z350" s="25"/>
      <c r="AA350" s="26"/>
    </row>
    <row r="351" spans="26:27" x14ac:dyDescent="0.25">
      <c r="Z351" s="25"/>
      <c r="AA351" s="26"/>
    </row>
    <row r="352" spans="26:27" x14ac:dyDescent="0.25">
      <c r="Z352" s="25"/>
      <c r="AA352" s="26"/>
    </row>
    <row r="353" spans="26:27" x14ac:dyDescent="0.25">
      <c r="Z353" s="25"/>
      <c r="AA353" s="26"/>
    </row>
    <row r="354" spans="26:27" x14ac:dyDescent="0.25">
      <c r="Z354" s="25"/>
      <c r="AA354" s="26"/>
    </row>
    <row r="355" spans="26:27" x14ac:dyDescent="0.25">
      <c r="Z355" s="25"/>
      <c r="AA355" s="26"/>
    </row>
    <row r="356" spans="26:27" x14ac:dyDescent="0.25">
      <c r="Z356" s="25"/>
      <c r="AA356" s="26"/>
    </row>
    <row r="357" spans="26:27" x14ac:dyDescent="0.25">
      <c r="Z357" s="25"/>
      <c r="AA357" s="26"/>
    </row>
    <row r="358" spans="26:27" x14ac:dyDescent="0.25">
      <c r="Z358" s="25"/>
      <c r="AA358" s="26"/>
    </row>
    <row r="359" spans="26:27" x14ac:dyDescent="0.25">
      <c r="Z359" s="25"/>
      <c r="AA359" s="26"/>
    </row>
    <row r="360" spans="26:27" x14ac:dyDescent="0.25">
      <c r="Z360" s="25"/>
      <c r="AA360" s="26"/>
    </row>
    <row r="361" spans="26:27" x14ac:dyDescent="0.25">
      <c r="Z361" s="25"/>
      <c r="AA361" s="26"/>
    </row>
    <row r="362" spans="26:27" x14ac:dyDescent="0.25">
      <c r="Z362" s="25"/>
      <c r="AA362" s="26"/>
    </row>
    <row r="363" spans="26:27" x14ac:dyDescent="0.25">
      <c r="Z363" s="25"/>
      <c r="AA363" s="26"/>
    </row>
    <row r="364" spans="26:27" x14ac:dyDescent="0.25">
      <c r="Z364" s="25"/>
      <c r="AA364" s="26"/>
    </row>
    <row r="365" spans="26:27" x14ac:dyDescent="0.25">
      <c r="Z365" s="25"/>
      <c r="AA365" s="26"/>
    </row>
    <row r="366" spans="26:27" x14ac:dyDescent="0.25">
      <c r="Z366" s="25"/>
      <c r="AA366" s="26"/>
    </row>
    <row r="367" spans="26:27" x14ac:dyDescent="0.25">
      <c r="Z367" s="25"/>
      <c r="AA367" s="26"/>
    </row>
    <row r="368" spans="26:27" x14ac:dyDescent="0.25">
      <c r="Z368" s="25"/>
      <c r="AA368" s="26"/>
    </row>
    <row r="369" spans="26:27" x14ac:dyDescent="0.25">
      <c r="Z369" s="25"/>
      <c r="AA369" s="26"/>
    </row>
    <row r="370" spans="26:27" x14ac:dyDescent="0.25">
      <c r="Z370" s="25"/>
      <c r="AA370" s="26"/>
    </row>
    <row r="371" spans="26:27" x14ac:dyDescent="0.25">
      <c r="Z371" s="25"/>
      <c r="AA371" s="26"/>
    </row>
    <row r="372" spans="26:27" x14ac:dyDescent="0.25">
      <c r="Z372" s="25"/>
      <c r="AA372" s="26"/>
    </row>
    <row r="373" spans="26:27" x14ac:dyDescent="0.25">
      <c r="Z373" s="25"/>
      <c r="AA373" s="26"/>
    </row>
    <row r="374" spans="26:27" x14ac:dyDescent="0.25">
      <c r="Z374" s="25"/>
      <c r="AA374" s="26"/>
    </row>
    <row r="375" spans="26:27" x14ac:dyDescent="0.25">
      <c r="Z375" s="25"/>
      <c r="AA375" s="26"/>
    </row>
    <row r="376" spans="26:27" x14ac:dyDescent="0.25">
      <c r="Z376" s="25"/>
      <c r="AA376" s="25"/>
    </row>
    <row r="377" spans="26:27" x14ac:dyDescent="0.25">
      <c r="Z377" s="25"/>
      <c r="AA377" s="25"/>
    </row>
    <row r="378" spans="26:27" x14ac:dyDescent="0.25">
      <c r="Z378" s="25"/>
      <c r="AA378" s="25"/>
    </row>
    <row r="379" spans="26:27" x14ac:dyDescent="0.25">
      <c r="Z379" s="25"/>
      <c r="AA379" s="25"/>
    </row>
    <row r="380" spans="26:27" x14ac:dyDescent="0.25">
      <c r="Z380" s="25"/>
      <c r="AA380" s="25"/>
    </row>
    <row r="381" spans="26:27" x14ac:dyDescent="0.25">
      <c r="Z381" s="25"/>
      <c r="AA381" s="25"/>
    </row>
    <row r="382" spans="26:27" x14ac:dyDescent="0.25">
      <c r="Z382" s="25"/>
      <c r="AA382" s="25"/>
    </row>
    <row r="383" spans="26:27" x14ac:dyDescent="0.25">
      <c r="Z383" s="25"/>
      <c r="AA383" s="25"/>
    </row>
    <row r="384" spans="26:27" x14ac:dyDescent="0.25">
      <c r="Z384" s="25"/>
      <c r="AA384" s="25"/>
    </row>
    <row r="385" spans="26:27" x14ac:dyDescent="0.25">
      <c r="Z385" s="25"/>
      <c r="AA385" s="25"/>
    </row>
    <row r="386" spans="26:27" x14ac:dyDescent="0.25">
      <c r="Z386" s="25"/>
      <c r="AA386" s="25"/>
    </row>
    <row r="387" spans="26:27" x14ac:dyDescent="0.25">
      <c r="Z387" s="25"/>
      <c r="AA387" s="25"/>
    </row>
    <row r="388" spans="26:27" x14ac:dyDescent="0.25">
      <c r="Z388" s="25"/>
      <c r="AA388" s="25"/>
    </row>
    <row r="389" spans="26:27" x14ac:dyDescent="0.25">
      <c r="Z389" s="25"/>
      <c r="AA389" s="25"/>
    </row>
    <row r="390" spans="26:27" x14ac:dyDescent="0.25">
      <c r="Z390" s="25"/>
      <c r="AA390" s="25"/>
    </row>
    <row r="391" spans="26:27" x14ac:dyDescent="0.25">
      <c r="Z391" s="25"/>
      <c r="AA391" s="25"/>
    </row>
    <row r="392" spans="26:27" x14ac:dyDescent="0.25">
      <c r="Z392" s="25"/>
      <c r="AA392" s="25"/>
    </row>
    <row r="393" spans="26:27" x14ac:dyDescent="0.25">
      <c r="Z393" s="25"/>
      <c r="AA393" s="25"/>
    </row>
    <row r="394" spans="26:27" x14ac:dyDescent="0.25">
      <c r="Z394" s="25"/>
      <c r="AA394" s="25"/>
    </row>
    <row r="395" spans="26:27" x14ac:dyDescent="0.25">
      <c r="Z395" s="25"/>
      <c r="AA395" s="25"/>
    </row>
    <row r="396" spans="26:27" x14ac:dyDescent="0.25">
      <c r="Z396" s="25"/>
      <c r="AA396" s="25"/>
    </row>
    <row r="397" spans="26:27" x14ac:dyDescent="0.25">
      <c r="Z397" s="25"/>
      <c r="AA397" s="25"/>
    </row>
    <row r="398" spans="26:27" x14ac:dyDescent="0.25">
      <c r="Z398" s="25"/>
      <c r="AA398" s="25"/>
    </row>
    <row r="399" spans="26:27" x14ac:dyDescent="0.25">
      <c r="Z399" s="25"/>
      <c r="AA399" s="25"/>
    </row>
    <row r="400" spans="26:27" x14ac:dyDescent="0.25">
      <c r="Z400" s="25"/>
      <c r="AA400" s="25"/>
    </row>
    <row r="401" spans="26:27" x14ac:dyDescent="0.25">
      <c r="Z401" s="25"/>
      <c r="AA401" s="25"/>
    </row>
    <row r="402" spans="26:27" x14ac:dyDescent="0.25">
      <c r="Z402" s="25"/>
      <c r="AA402" s="25"/>
    </row>
    <row r="403" spans="26:27" x14ac:dyDescent="0.25">
      <c r="Z403" s="25"/>
      <c r="AA403" s="25"/>
    </row>
    <row r="404" spans="26:27" x14ac:dyDescent="0.25">
      <c r="Z404" s="25"/>
      <c r="AA404" s="25"/>
    </row>
    <row r="405" spans="26:27" x14ac:dyDescent="0.25">
      <c r="Z405" s="25"/>
      <c r="AA405" s="25"/>
    </row>
    <row r="406" spans="26:27" x14ac:dyDescent="0.25">
      <c r="Z406" s="25"/>
      <c r="AA406" s="25"/>
    </row>
    <row r="407" spans="26:27" x14ac:dyDescent="0.25">
      <c r="Z407" s="25"/>
      <c r="AA407" s="25"/>
    </row>
    <row r="408" spans="26:27" x14ac:dyDescent="0.25">
      <c r="Z408" s="25"/>
      <c r="AA408" s="25"/>
    </row>
    <row r="409" spans="26:27" x14ac:dyDescent="0.25">
      <c r="Z409" s="25"/>
      <c r="AA409" s="25"/>
    </row>
    <row r="410" spans="26:27" x14ac:dyDescent="0.25">
      <c r="Z410" s="25"/>
      <c r="AA410" s="25"/>
    </row>
    <row r="411" spans="26:27" x14ac:dyDescent="0.25">
      <c r="Z411" s="25"/>
      <c r="AA411" s="25"/>
    </row>
    <row r="412" spans="26:27" x14ac:dyDescent="0.25">
      <c r="Z412" s="25"/>
      <c r="AA412" s="25"/>
    </row>
    <row r="413" spans="26:27" x14ac:dyDescent="0.25">
      <c r="Z413" s="25"/>
      <c r="AA413" s="25"/>
    </row>
    <row r="414" spans="26:27" x14ac:dyDescent="0.25">
      <c r="Z414" s="25"/>
      <c r="AA414" s="25"/>
    </row>
    <row r="415" spans="26:27" x14ac:dyDescent="0.25">
      <c r="Z415" s="25"/>
      <c r="AA415" s="25"/>
    </row>
    <row r="416" spans="26:27" x14ac:dyDescent="0.25">
      <c r="Z416" s="25"/>
      <c r="AA416" s="25"/>
    </row>
    <row r="417" spans="26:27" x14ac:dyDescent="0.25">
      <c r="Z417" s="25"/>
      <c r="AA417" s="25"/>
    </row>
    <row r="418" spans="26:27" x14ac:dyDescent="0.25">
      <c r="Z418" s="25"/>
      <c r="AA418" s="25"/>
    </row>
    <row r="419" spans="26:27" x14ac:dyDescent="0.25">
      <c r="Z419" s="25"/>
      <c r="AA419" s="25"/>
    </row>
    <row r="420" spans="26:27" x14ac:dyDescent="0.25">
      <c r="Z420" s="25"/>
      <c r="AA420" s="25"/>
    </row>
    <row r="421" spans="26:27" x14ac:dyDescent="0.25">
      <c r="Z421" s="25"/>
      <c r="AA421" s="25"/>
    </row>
    <row r="422" spans="26:27" x14ac:dyDescent="0.25">
      <c r="Z422" s="25"/>
      <c r="AA422" s="25"/>
    </row>
    <row r="423" spans="26:27" x14ac:dyDescent="0.25">
      <c r="Z423" s="25"/>
      <c r="AA423" s="25"/>
    </row>
    <row r="424" spans="26:27" x14ac:dyDescent="0.25">
      <c r="Z424" s="25"/>
      <c r="AA424" s="25"/>
    </row>
    <row r="425" spans="26:27" x14ac:dyDescent="0.25">
      <c r="Z425" s="25"/>
      <c r="AA425" s="25"/>
    </row>
    <row r="426" spans="26:27" x14ac:dyDescent="0.25">
      <c r="Z426" s="25"/>
      <c r="AA426" s="25"/>
    </row>
    <row r="427" spans="26:27" x14ac:dyDescent="0.25">
      <c r="Z427" s="25"/>
      <c r="AA427" s="25"/>
    </row>
    <row r="428" spans="26:27" x14ac:dyDescent="0.25">
      <c r="Z428" s="25"/>
      <c r="AA428" s="25"/>
    </row>
    <row r="429" spans="26:27" x14ac:dyDescent="0.25">
      <c r="Z429" s="25"/>
      <c r="AA429" s="25"/>
    </row>
    <row r="430" spans="26:27" x14ac:dyDescent="0.25">
      <c r="Z430" s="25"/>
      <c r="AA430" s="25"/>
    </row>
    <row r="431" spans="26:27" x14ac:dyDescent="0.25">
      <c r="Z431" s="25"/>
      <c r="AA431" s="25"/>
    </row>
    <row r="432" spans="26:27" x14ac:dyDescent="0.25">
      <c r="Z432" s="25"/>
      <c r="AA432" s="25"/>
    </row>
    <row r="433" spans="26:27" x14ac:dyDescent="0.25">
      <c r="Z433" s="25"/>
      <c r="AA433" s="25"/>
    </row>
    <row r="434" spans="26:27" x14ac:dyDescent="0.25">
      <c r="Z434" s="25"/>
      <c r="AA434" s="25"/>
    </row>
    <row r="435" spans="26:27" x14ac:dyDescent="0.25">
      <c r="Z435" s="25"/>
      <c r="AA435" s="25"/>
    </row>
    <row r="436" spans="26:27" x14ac:dyDescent="0.25">
      <c r="Z436" s="25"/>
      <c r="AA436" s="25"/>
    </row>
    <row r="437" spans="26:27" x14ac:dyDescent="0.25">
      <c r="Z437" s="25"/>
      <c r="AA437" s="25"/>
    </row>
    <row r="438" spans="26:27" x14ac:dyDescent="0.25">
      <c r="Z438" s="25"/>
      <c r="AA438" s="25"/>
    </row>
    <row r="439" spans="26:27" x14ac:dyDescent="0.25">
      <c r="Z439" s="25"/>
      <c r="AA439" s="25"/>
    </row>
    <row r="440" spans="26:27" x14ac:dyDescent="0.25">
      <c r="Z440" s="25"/>
      <c r="AA440" s="25"/>
    </row>
    <row r="441" spans="26:27" x14ac:dyDescent="0.25">
      <c r="Z441" s="25"/>
      <c r="AA441" s="25"/>
    </row>
    <row r="442" spans="26:27" x14ac:dyDescent="0.25">
      <c r="Z442" s="25"/>
      <c r="AA442" s="25"/>
    </row>
    <row r="443" spans="26:27" x14ac:dyDescent="0.25">
      <c r="Z443" s="25"/>
      <c r="AA443" s="25"/>
    </row>
    <row r="444" spans="26:27" x14ac:dyDescent="0.25">
      <c r="Z444" s="25"/>
      <c r="AA444" s="25"/>
    </row>
    <row r="445" spans="26:27" x14ac:dyDescent="0.25">
      <c r="Z445" s="25"/>
      <c r="AA445" s="25"/>
    </row>
    <row r="446" spans="26:27" x14ac:dyDescent="0.25">
      <c r="Z446" s="25"/>
      <c r="AA446" s="25"/>
    </row>
    <row r="447" spans="26:27" x14ac:dyDescent="0.25">
      <c r="Z447" s="25"/>
      <c r="AA447" s="25"/>
    </row>
    <row r="448" spans="26:27" x14ac:dyDescent="0.25">
      <c r="Z448" s="25"/>
      <c r="AA448" s="25"/>
    </row>
    <row r="449" spans="26:27" x14ac:dyDescent="0.25">
      <c r="Z449" s="25"/>
      <c r="AA449" s="25"/>
    </row>
    <row r="450" spans="26:27" x14ac:dyDescent="0.25">
      <c r="Z450" s="25"/>
      <c r="AA450" s="25"/>
    </row>
    <row r="451" spans="26:27" x14ac:dyDescent="0.25">
      <c r="Z451" s="25"/>
      <c r="AA451" s="25"/>
    </row>
    <row r="452" spans="26:27" x14ac:dyDescent="0.25">
      <c r="Z452" s="25"/>
      <c r="AA452" s="25"/>
    </row>
    <row r="453" spans="26:27" x14ac:dyDescent="0.25">
      <c r="Z453" s="25"/>
      <c r="AA453" s="25"/>
    </row>
    <row r="454" spans="26:27" x14ac:dyDescent="0.25">
      <c r="Z454" s="25"/>
      <c r="AA454" s="25"/>
    </row>
    <row r="455" spans="26:27" x14ac:dyDescent="0.25">
      <c r="Z455" s="25"/>
      <c r="AA455" s="25"/>
    </row>
    <row r="456" spans="26:27" x14ac:dyDescent="0.25">
      <c r="Z456" s="25"/>
      <c r="AA456" s="25"/>
    </row>
    <row r="457" spans="26:27" x14ac:dyDescent="0.25">
      <c r="Z457" s="25"/>
      <c r="AA457" s="25"/>
    </row>
    <row r="458" spans="26:27" x14ac:dyDescent="0.25">
      <c r="Z458" s="25"/>
      <c r="AA458" s="25"/>
    </row>
    <row r="459" spans="26:27" x14ac:dyDescent="0.25">
      <c r="Z459" s="25"/>
      <c r="AA459" s="25"/>
    </row>
    <row r="460" spans="26:27" x14ac:dyDescent="0.25">
      <c r="Z460" s="25"/>
      <c r="AA460" s="25"/>
    </row>
    <row r="461" spans="26:27" x14ac:dyDescent="0.25">
      <c r="Z461" s="25"/>
      <c r="AA461" s="25"/>
    </row>
    <row r="462" spans="26:27" x14ac:dyDescent="0.25">
      <c r="Z462" s="25"/>
      <c r="AA462" s="25"/>
    </row>
    <row r="463" spans="26:27" x14ac:dyDescent="0.25">
      <c r="Z463" s="25"/>
      <c r="AA463" s="25"/>
    </row>
    <row r="464" spans="26:27" x14ac:dyDescent="0.25">
      <c r="Z464" s="25"/>
      <c r="AA464" s="25"/>
    </row>
    <row r="465" spans="26:27" x14ac:dyDescent="0.25">
      <c r="Z465" s="25"/>
      <c r="AA465" s="25"/>
    </row>
    <row r="466" spans="26:27" x14ac:dyDescent="0.25">
      <c r="Z466" s="25"/>
      <c r="AA466" s="25"/>
    </row>
    <row r="467" spans="26:27" x14ac:dyDescent="0.25">
      <c r="Z467" s="25"/>
      <c r="AA467" s="25"/>
    </row>
    <row r="468" spans="26:27" x14ac:dyDescent="0.25">
      <c r="Z468" s="25"/>
      <c r="AA468" s="25"/>
    </row>
    <row r="469" spans="26:27" x14ac:dyDescent="0.25">
      <c r="Z469" s="25"/>
      <c r="AA469" s="25"/>
    </row>
    <row r="470" spans="26:27" x14ac:dyDescent="0.25">
      <c r="Z470" s="25"/>
      <c r="AA470" s="25"/>
    </row>
    <row r="471" spans="26:27" x14ac:dyDescent="0.25">
      <c r="Z471" s="25"/>
      <c r="AA471" s="25"/>
    </row>
    <row r="472" spans="26:27" x14ac:dyDescent="0.25">
      <c r="Z472" s="25"/>
      <c r="AA472" s="25"/>
    </row>
    <row r="473" spans="26:27" x14ac:dyDescent="0.25">
      <c r="Z473" s="25"/>
      <c r="AA473" s="25"/>
    </row>
    <row r="474" spans="26:27" x14ac:dyDescent="0.25">
      <c r="Z474" s="25"/>
      <c r="AA474" s="25"/>
    </row>
    <row r="475" spans="26:27" x14ac:dyDescent="0.25">
      <c r="Z475" s="25"/>
      <c r="AA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1100</v>
      </c>
    </row>
    <row r="2" spans="1:1" x14ac:dyDescent="0.25">
      <c r="A2" t="s">
        <v>1101</v>
      </c>
    </row>
    <row r="3" spans="1:1" x14ac:dyDescent="0.25">
      <c r="A3" t="s">
        <v>1102</v>
      </c>
    </row>
    <row r="4" spans="1:1" x14ac:dyDescent="0.25">
      <c r="A4" t="s">
        <v>1103</v>
      </c>
    </row>
    <row r="5" spans="1:1" x14ac:dyDescent="0.25">
      <c r="A5" t="s">
        <v>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1080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1057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1076</v>
      </c>
      <c r="B61" s="3">
        <v>4172</v>
      </c>
      <c r="C61" s="11" t="s">
        <v>1078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1082</v>
      </c>
      <c r="B62" s="3">
        <v>-161000</v>
      </c>
      <c r="C62" s="11" t="s">
        <v>1090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1096</v>
      </c>
      <c r="B63" s="3">
        <v>-149505</v>
      </c>
      <c r="C63" s="11" t="s">
        <v>1097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1058</v>
      </c>
    </row>
    <row r="187" spans="1:7" x14ac:dyDescent="0.25">
      <c r="A187" s="11" t="s">
        <v>1057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1058</v>
      </c>
    </row>
    <row r="188" spans="1:7" x14ac:dyDescent="0.25">
      <c r="A188" s="11" t="s">
        <v>1057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1069</v>
      </c>
    </row>
    <row r="189" spans="1:7" x14ac:dyDescent="0.25">
      <c r="A189" s="11" t="s">
        <v>1068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1069</v>
      </c>
    </row>
    <row r="190" spans="1:7" x14ac:dyDescent="0.25">
      <c r="A190" s="11" t="s">
        <v>1068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1058</v>
      </c>
    </row>
    <row r="191" spans="1:7" x14ac:dyDescent="0.25">
      <c r="A191" s="11" t="s">
        <v>1076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1078</v>
      </c>
    </row>
    <row r="192" spans="1:7" x14ac:dyDescent="0.25">
      <c r="A192" s="11" t="s">
        <v>1105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1106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selection activeCell="G24" sqref="G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1107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1051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91646141.25</v>
      </c>
      <c r="G15" s="29">
        <f t="shared" si="0"/>
        <v>1353858.75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فروش'!X32</f>
        <v>184423847.25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1048</v>
      </c>
      <c r="L24" s="43">
        <f>-'لیست خرید و فروش'!Z15</f>
        <v>-93896004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1049</v>
      </c>
      <c r="N25" s="29">
        <f>-L24</f>
        <v>93896004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91646141.25</v>
      </c>
      <c r="M27" s="11"/>
      <c r="N27" s="29">
        <f>SUM(N16:N25)</f>
        <v>154332204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148646141.25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1081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1076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2018-03-25T23:37:47Z</dcterms:modified>
</cp:coreProperties>
</file>