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4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S49" i="32" l="1"/>
  <c r="S51" i="32"/>
  <c r="S53" i="32"/>
  <c r="S54" i="32"/>
  <c r="S55" i="32"/>
  <c r="S56" i="32"/>
  <c r="S57" i="32"/>
  <c r="S58" i="32"/>
  <c r="S59" i="32"/>
  <c r="S60" i="32"/>
  <c r="S61" i="32"/>
  <c r="S62" i="32"/>
  <c r="S63" i="32"/>
  <c r="AA4" i="32"/>
  <c r="AA5" i="32" s="1"/>
  <c r="AA6" i="32" s="1"/>
  <c r="AA7" i="32" s="1"/>
  <c r="T17" i="33"/>
  <c r="N28" i="18" l="1"/>
  <c r="H25" i="33"/>
  <c r="V13" i="33"/>
  <c r="H2" i="33"/>
  <c r="T4" i="33" l="1"/>
  <c r="I52" i="32"/>
  <c r="E29" i="33"/>
  <c r="E26" i="33"/>
  <c r="E24" i="33"/>
  <c r="E17" i="33"/>
  <c r="E27" i="33"/>
  <c r="E19" i="33"/>
  <c r="E20" i="33"/>
  <c r="E21" i="33"/>
  <c r="E22" i="33"/>
  <c r="E23" i="33"/>
  <c r="E18" i="33"/>
  <c r="W2" i="33" l="1"/>
  <c r="P2" i="33" s="1"/>
  <c r="H29" i="33"/>
  <c r="C29" i="33" s="1"/>
  <c r="H28" i="33"/>
  <c r="C28" i="33" s="1"/>
  <c r="H26" i="33"/>
  <c r="C26" i="33" s="1"/>
  <c r="H16" i="33"/>
  <c r="C16" i="33" s="1"/>
  <c r="H15" i="33"/>
  <c r="C15" i="33" s="1"/>
  <c r="H14" i="33"/>
  <c r="C14" i="33" s="1"/>
  <c r="H13" i="33"/>
  <c r="C13" i="33" s="1"/>
  <c r="H11" i="33"/>
  <c r="C11" i="33" s="1"/>
  <c r="H10" i="33"/>
  <c r="C10" i="33" s="1"/>
  <c r="H9" i="33"/>
  <c r="C9" i="33" s="1"/>
  <c r="H7" i="33"/>
  <c r="C7" i="33" s="1"/>
  <c r="H5" i="33"/>
  <c r="C5" i="33" s="1"/>
  <c r="H24" i="33"/>
  <c r="C24" i="33" s="1"/>
  <c r="H27" i="33"/>
  <c r="I27" i="33" s="1"/>
  <c r="H12" i="33"/>
  <c r="C12" i="33" s="1"/>
  <c r="H8" i="33"/>
  <c r="C8" i="33" s="1"/>
  <c r="H6" i="33"/>
  <c r="C6" i="33" s="1"/>
  <c r="H4" i="33"/>
  <c r="C4" i="33" s="1"/>
  <c r="H3" i="33"/>
  <c r="C3" i="33" s="1"/>
  <c r="C2" i="33"/>
  <c r="C25" i="33"/>
  <c r="H23" i="33"/>
  <c r="C23" i="33" s="1"/>
  <c r="H22" i="33"/>
  <c r="C22" i="33" s="1"/>
  <c r="H21" i="33"/>
  <c r="C21" i="33" s="1"/>
  <c r="H20" i="33"/>
  <c r="C20" i="33" s="1"/>
  <c r="H19" i="33"/>
  <c r="C19" i="33" s="1"/>
  <c r="H18" i="33"/>
  <c r="C18" i="33" s="1"/>
  <c r="H17" i="33"/>
  <c r="C27" i="33" l="1"/>
  <c r="B17" i="33"/>
  <c r="L17" i="33" s="1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B9" i="33"/>
  <c r="L9" i="33" s="1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I24" i="33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F74" i="32"/>
  <c r="F75" i="32"/>
  <c r="F73" i="32"/>
  <c r="P53" i="32"/>
  <c r="O53" i="32"/>
  <c r="Q53" i="32" s="1"/>
  <c r="I53" i="32"/>
  <c r="K52" i="32"/>
  <c r="S52" i="32" s="1"/>
  <c r="L52" i="32" s="1"/>
  <c r="K7" i="32"/>
  <c r="S7" i="32" s="1"/>
  <c r="K6" i="32"/>
  <c r="S6" i="32" s="1"/>
  <c r="K9" i="32"/>
  <c r="S9" i="32" s="1"/>
  <c r="R53" i="32"/>
  <c r="M39" i="32"/>
  <c r="Q39" i="32" s="1"/>
  <c r="M17" i="32"/>
  <c r="Q17" i="32" s="1"/>
  <c r="M47" i="32"/>
  <c r="P47" i="32" s="1"/>
  <c r="K47" i="32"/>
  <c r="S47" i="32" s="1"/>
  <c r="K46" i="32"/>
  <c r="S46" i="32" s="1"/>
  <c r="I46" i="32"/>
  <c r="L46" i="32" s="1"/>
  <c r="M45" i="32"/>
  <c r="Q45" i="32" s="1"/>
  <c r="K45" i="32"/>
  <c r="S45" i="32" s="1"/>
  <c r="K44" i="32"/>
  <c r="S44" i="32" s="1"/>
  <c r="I44" i="32"/>
  <c r="L44" i="32" s="1"/>
  <c r="M43" i="32"/>
  <c r="Q43" i="32" s="1"/>
  <c r="K43" i="32"/>
  <c r="S43" i="32" s="1"/>
  <c r="K42" i="32"/>
  <c r="S42" i="32" s="1"/>
  <c r="I42" i="32"/>
  <c r="L42" i="32" s="1"/>
  <c r="M41" i="32"/>
  <c r="Q41" i="32" s="1"/>
  <c r="K41" i="32"/>
  <c r="S41" i="32" s="1"/>
  <c r="K40" i="32"/>
  <c r="S40" i="32" s="1"/>
  <c r="I40" i="32"/>
  <c r="L40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0" i="32"/>
  <c r="I50" i="32"/>
  <c r="M23" i="32"/>
  <c r="Q23" i="32" s="1"/>
  <c r="K23" i="32"/>
  <c r="S23" i="32" s="1"/>
  <c r="K22" i="32"/>
  <c r="S22" i="32" s="1"/>
  <c r="I22" i="32"/>
  <c r="M7" i="32"/>
  <c r="B202" i="15"/>
  <c r="B127" i="13"/>
  <c r="S50" i="32" l="1"/>
  <c r="F77" i="32" s="1"/>
  <c r="L36" i="32"/>
  <c r="L26" i="32"/>
  <c r="L20" i="32"/>
  <c r="L18" i="32"/>
  <c r="L16" i="32"/>
  <c r="L50" i="32"/>
  <c r="L24" i="32"/>
  <c r="L22" i="32"/>
  <c r="L38" i="32"/>
  <c r="P17" i="32"/>
  <c r="Q47" i="32"/>
  <c r="Q21" i="32"/>
  <c r="P19" i="32"/>
  <c r="P45" i="32"/>
  <c r="P43" i="32"/>
  <c r="P41" i="32"/>
  <c r="P39" i="32"/>
  <c r="P23" i="32"/>
  <c r="P37" i="32"/>
  <c r="P11" i="32"/>
  <c r="P27" i="32"/>
  <c r="P25" i="32"/>
  <c r="K48" i="32" l="1"/>
  <c r="AF9" i="32"/>
  <c r="AF10" i="32"/>
  <c r="AF11" i="32"/>
  <c r="AE5" i="32"/>
  <c r="AE8" i="32"/>
  <c r="AE9" i="32"/>
  <c r="AE10" i="32"/>
  <c r="AE11" i="32"/>
  <c r="S48" i="32" l="1"/>
  <c r="F76" i="32" s="1"/>
  <c r="Y12" i="32"/>
  <c r="M5" i="32"/>
  <c r="Q5" i="32" s="1"/>
  <c r="K5" i="32"/>
  <c r="S5" i="32" s="1"/>
  <c r="K4" i="32"/>
  <c r="S4" i="32" s="1"/>
  <c r="I4" i="32"/>
  <c r="L4" i="32" s="1"/>
  <c r="I32" i="32"/>
  <c r="L32" i="32" s="1"/>
  <c r="M35" i="32"/>
  <c r="Q35" i="32" s="1"/>
  <c r="K35" i="32"/>
  <c r="S35" i="32" s="1"/>
  <c r="K34" i="32"/>
  <c r="S34" i="32" s="1"/>
  <c r="L34" i="32" s="1"/>
  <c r="M33" i="32"/>
  <c r="Q33" i="32" s="1"/>
  <c r="K33" i="32"/>
  <c r="S33" i="32" s="1"/>
  <c r="K32" i="32"/>
  <c r="S32" i="32" s="1"/>
  <c r="M31" i="32"/>
  <c r="P31" i="32" s="1"/>
  <c r="K31" i="32"/>
  <c r="S31" i="32" s="1"/>
  <c r="I31" i="32"/>
  <c r="O31" i="32"/>
  <c r="K30" i="32"/>
  <c r="S30" i="32" s="1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5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48" i="32"/>
  <c r="L48" i="32" s="1"/>
  <c r="I49" i="32"/>
  <c r="I2" i="32"/>
  <c r="P49" i="32"/>
  <c r="O49" i="32"/>
  <c r="Q49" i="32" s="1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S13" i="32" s="1"/>
  <c r="K15" i="32"/>
  <c r="S15" i="32" s="1"/>
  <c r="K14" i="32"/>
  <c r="AB8" i="32"/>
  <c r="AG8" i="32" s="1"/>
  <c r="AB9" i="32"/>
  <c r="AG9" i="32" s="1"/>
  <c r="AB10" i="32"/>
  <c r="AB4" i="32"/>
  <c r="L14" i="32" l="1"/>
  <c r="S14" i="32"/>
  <c r="AB5" i="32"/>
  <c r="AG5" i="32" s="1"/>
  <c r="AG4" i="32"/>
  <c r="AC4" i="32"/>
  <c r="F81" i="32"/>
  <c r="P9" i="32"/>
  <c r="Q9" i="32"/>
  <c r="P5" i="33"/>
  <c r="AD5" i="32" l="1"/>
  <c r="AB7" i="32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K3" i="32"/>
  <c r="S3" i="32" s="1"/>
  <c r="K8" i="32"/>
  <c r="K12" i="32"/>
  <c r="S12" i="32" s="1"/>
  <c r="L12" i="32" s="1"/>
  <c r="S8" i="32" l="1"/>
  <c r="L8" i="32" s="1"/>
  <c r="S2" i="32"/>
  <c r="L2" i="32" s="1"/>
  <c r="AG6" i="32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F83" i="32" s="1"/>
  <c r="R7" i="33"/>
  <c r="R8" i="33" s="1"/>
  <c r="R9" i="33" s="1"/>
  <c r="R10" i="33" s="1"/>
  <c r="R11" i="33" s="1"/>
  <c r="R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5" i="32"/>
  <c r="AA15" i="32" s="1"/>
  <c r="AA16" i="32" s="1"/>
  <c r="F186" i="15"/>
  <c r="Q65" i="32"/>
  <c r="Z15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  <c r="N27" i="18"/>
</calcChain>
</file>

<file path=xl/sharedStrings.xml><?xml version="1.0" encoding="utf-8"?>
<sst xmlns="http://schemas.openxmlformats.org/spreadsheetml/2006/main" count="2670" uniqueCount="1108">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</sst>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164" fontId="0" fillId="19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1097</v>
      </c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1098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opLeftCell="G1" zoomScale="85" zoomScaleNormal="85" workbookViewId="0">
      <pane ySplit="1" topLeftCell="A2" activePane="bottomLeft" state="frozen"/>
      <selection pane="bottomLeft" activeCell="Y21" sqref="Y2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>C4*E4*J4/100</f>
        <v>174.2175</v>
      </c>
      <c r="L4" s="79">
        <f>(E4*(1+J4/100)+I4/C4)/(1-J5/100)-(S4/C4)*(G4/365)*($AB$2/100)</f>
        <v>80457.976369327545</v>
      </c>
      <c r="M4" s="81"/>
      <c r="N4" s="79"/>
      <c r="O4" s="79"/>
      <c r="P4" s="81"/>
      <c r="Q4" s="81"/>
      <c r="R4" s="79"/>
      <c r="S4" s="14">
        <f t="shared" ref="S4" si="1">C4*E4+K4-F4</f>
        <v>0.21749999999883585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13</v>
      </c>
      <c r="AB4" s="85">
        <f t="shared" ref="AB4:AB10" si="2">W4*AA4*$AB$2/(365*100)</f>
        <v>630767.12328767125</v>
      </c>
      <c r="AC4" s="85">
        <f>AB4</f>
        <v>630767.12328767125</v>
      </c>
      <c r="AD4" s="85">
        <v>0</v>
      </c>
      <c r="AE4" s="85">
        <f>Y4+AC4</f>
        <v>81130767.123287678</v>
      </c>
      <c r="AF4" s="85">
        <f>Z4+AD4</f>
        <v>0</v>
      </c>
      <c r="AG4" s="86">
        <f t="shared" ref="AG4:AG9" si="3">W4+AB4</f>
        <v>81130767.123287678</v>
      </c>
    </row>
    <row r="5" spans="1:33" x14ac:dyDescent="0.25">
      <c r="A5" s="79" t="s">
        <v>1059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>C5*E5*J5/100</f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14">
        <f>-C5*E5+K5+F5</f>
        <v>772.17499999998836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9</v>
      </c>
      <c r="AB5" s="85">
        <f t="shared" si="2"/>
        <v>471945.20547945204</v>
      </c>
      <c r="AC5" s="85">
        <v>0</v>
      </c>
      <c r="AD5" s="85">
        <f>AB5</f>
        <v>471945.20547945204</v>
      </c>
      <c r="AE5" s="85">
        <f t="shared" ref="AE5:AE11" si="5">Y5+AC5</f>
        <v>0</v>
      </c>
      <c r="AF5" s="85">
        <f t="shared" ref="AF5:AF11" si="6">Z5+AD5</f>
        <v>87471945.205479458</v>
      </c>
      <c r="AG5" s="86">
        <f t="shared" si="3"/>
        <v>87471945.205479458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>C6*E6*J6/100</f>
        <v>28862.032500000001</v>
      </c>
      <c r="L6" s="76">
        <f>(E6*(1+J6/100)+I6/C6)/(1-J7/100)-(S6/C6)*(G6/365)*($AB$2/100)</f>
        <v>80506.327027409308</v>
      </c>
      <c r="M6" s="76"/>
      <c r="N6" s="76"/>
      <c r="O6" s="76"/>
      <c r="P6" s="76"/>
      <c r="Q6" s="76"/>
      <c r="R6" s="77">
        <v>81000</v>
      </c>
      <c r="S6" s="14">
        <f t="shared" ref="S6" si="7">C6*E6+K6-F6</f>
        <v>-48.967500001192093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8</v>
      </c>
      <c r="AB6" s="85">
        <f t="shared" si="2"/>
        <v>5304.1095890410961</v>
      </c>
      <c r="AC6" s="85">
        <f>AB6</f>
        <v>5304.1095890410961</v>
      </c>
      <c r="AD6" s="85">
        <v>0</v>
      </c>
      <c r="AE6" s="85">
        <f t="shared" si="5"/>
        <v>1105304.1095890412</v>
      </c>
      <c r="AF6" s="85">
        <f t="shared" si="6"/>
        <v>0</v>
      </c>
      <c r="AG6" s="86">
        <f t="shared" si="3"/>
        <v>1105304.1095890412</v>
      </c>
    </row>
    <row r="7" spans="1:33" x14ac:dyDescent="0.25">
      <c r="A7" s="76" t="s">
        <v>1070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>C7*E7*J7/100</f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14">
        <f t="shared" ref="S7" si="8">-C7*E7+K7+F7</f>
        <v>-0.54500000178813934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4"/>
        <v>5000000</v>
      </c>
      <c r="AA7" s="82">
        <f>AA6-1</f>
        <v>7</v>
      </c>
      <c r="AB7" s="85">
        <f t="shared" si="2"/>
        <v>42191.780821917811</v>
      </c>
      <c r="AC7" s="85">
        <f>AB7/2</f>
        <v>21095.890410958906</v>
      </c>
      <c r="AD7" s="85">
        <f>AB7-AC7</f>
        <v>21095.890410958906</v>
      </c>
      <c r="AE7" s="85">
        <f t="shared" si="5"/>
        <v>5021095.8904109588</v>
      </c>
      <c r="AF7" s="85">
        <f t="shared" si="6"/>
        <v>5021095.8904109588</v>
      </c>
      <c r="AG7" s="86">
        <f t="shared" si="3"/>
        <v>10042191.780821918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>C8*E8*J8/100</f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14">
        <f t="shared" ref="S8" si="9">C8*E8+K8-F8</f>
        <v>-17007.867499999702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>C9*E9*J9/100</f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14">
        <f t="shared" ref="S9" si="10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>C10*E10*J10/100</f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14">
        <f t="shared" ref="S10" si="11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1070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>C11*E11*J11/100</f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14">
        <f t="shared" ref="S11" si="12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1045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3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f t="shared" ref="S12" si="14">C12*E12+K12-F12</f>
        <v>1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1150208.2191780822</v>
      </c>
      <c r="AC12" s="86">
        <f>SUM(AC4:AC10)</f>
        <v>657167.12328767125</v>
      </c>
      <c r="AD12" s="86">
        <f>SUM(AD4:AD10)</f>
        <v>493041.09589041094</v>
      </c>
      <c r="AE12" s="86">
        <f>SUM(AE4:AE11)</f>
        <v>87257167.123287678</v>
      </c>
      <c r="AF12" s="86">
        <f>SUM(AF4:AF11)</f>
        <v>92493041.095890418</v>
      </c>
      <c r="AG12" s="86">
        <f>SUM(AG4:AG10)</f>
        <v>179750208.21917808</v>
      </c>
    </row>
    <row r="13" spans="1:33" x14ac:dyDescent="0.25">
      <c r="A13" s="79" t="s">
        <v>960</v>
      </c>
      <c r="B13" s="79" t="s">
        <v>1045</v>
      </c>
      <c r="C13" s="79">
        <v>200</v>
      </c>
      <c r="D13" s="79" t="s">
        <v>976</v>
      </c>
      <c r="E13" s="80">
        <v>704889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3"/>
        <v>102208.905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f t="shared" ref="S13" si="15">-C13*E13+K13+F13</f>
        <v>-126788032.095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3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6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3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7">-C15*E15+K15+F15</f>
        <v>852475.85500000045</v>
      </c>
      <c r="Y15" t="s">
        <v>1066</v>
      </c>
      <c r="Z15" s="7">
        <f>Z12+Q65</f>
        <v>93771803.5</v>
      </c>
      <c r="AA15" s="7">
        <f>Y12+P65</f>
        <v>89773087.5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8">C16*E16+K16-F16</f>
        <v>-138354.72000000067</v>
      </c>
      <c r="Y16" t="s">
        <v>1067</v>
      </c>
      <c r="Z16" s="7">
        <f>Z15-AF12</f>
        <v>1278762.4041095823</v>
      </c>
      <c r="AA16" s="7">
        <f>AA15-AE12</f>
        <v>2515920.3767123222</v>
      </c>
    </row>
    <row r="17" spans="1:30" x14ac:dyDescent="0.25">
      <c r="A17" s="79" t="s">
        <v>1070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>C17*E17*J17/100</f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9">M17*N17/C16</f>
        <v>82077</v>
      </c>
      <c r="Q17" s="81">
        <f t="shared" ref="Q17" si="20">M17*O17/C16</f>
        <v>82077</v>
      </c>
      <c r="R17" s="79"/>
      <c r="S17" s="80">
        <f t="shared" ref="S17" si="21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>C18*E18*J18/100</f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14">
        <f t="shared" ref="S18" si="22">C18*E18+K18-F18</f>
        <v>-138354.72000000067</v>
      </c>
      <c r="Y18" t="s">
        <v>1101</v>
      </c>
      <c r="Z18">
        <v>8</v>
      </c>
    </row>
    <row r="19" spans="1:30" x14ac:dyDescent="0.25">
      <c r="A19" s="76" t="s">
        <v>1070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>C19*E19*J19/100</f>
        <v>7249.8549999999996</v>
      </c>
      <c r="L19" s="76">
        <v>17</v>
      </c>
      <c r="M19" s="78">
        <f t="shared" ref="M19" si="23">F19-F18</f>
        <v>263972</v>
      </c>
      <c r="N19" s="76">
        <v>50</v>
      </c>
      <c r="O19" s="76">
        <v>50</v>
      </c>
      <c r="P19" s="78">
        <f t="shared" ref="P19" si="24">M19*N19/C18</f>
        <v>131986</v>
      </c>
      <c r="Q19" s="78">
        <f t="shared" ref="Q19" si="25">M19*O19/C18</f>
        <v>131986</v>
      </c>
      <c r="R19" s="76"/>
      <c r="S19" s="14">
        <f t="shared" ref="S19" si="26">-C19*E19+K19+F19</f>
        <v>149632.85500000045</v>
      </c>
      <c r="Y19" t="s">
        <v>1102</v>
      </c>
      <c r="Z19">
        <v>5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>C20*E20*J20/100</f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14">
        <f t="shared" ref="S20" si="27">C20*E20+K20-F20</f>
        <v>-276709.44000000134</v>
      </c>
    </row>
    <row r="21" spans="1:30" x14ac:dyDescent="0.25">
      <c r="A21" s="79" t="s">
        <v>1070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>C21*E21*J21/100</f>
        <v>14355</v>
      </c>
      <c r="L21" s="79">
        <v>18</v>
      </c>
      <c r="M21" s="81">
        <f t="shared" ref="M21" si="28">F21-F20</f>
        <v>328309</v>
      </c>
      <c r="N21" s="79">
        <v>100</v>
      </c>
      <c r="O21" s="79">
        <v>100</v>
      </c>
      <c r="P21" s="81">
        <f t="shared" ref="P21" si="29">M21*N21/C20</f>
        <v>164154.5</v>
      </c>
      <c r="Q21" s="81">
        <f t="shared" ref="Q21" si="30">M21*O21/C20</f>
        <v>164154.5</v>
      </c>
      <c r="R21" s="79"/>
      <c r="S21" s="14">
        <f t="shared" ref="S21" si="31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32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3">C22*E22+K22-F22</f>
        <v>-416020.0625</v>
      </c>
    </row>
    <row r="23" spans="1:30" x14ac:dyDescent="0.25">
      <c r="A23" s="76" t="s">
        <v>1070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32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4">-C23*E23+K23+F23</f>
        <v>427982.92750000022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5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6">C24*E24+K24-F24</f>
        <v>-415064.16000000015</v>
      </c>
      <c r="AA24" s="7"/>
    </row>
    <row r="25" spans="1:30" x14ac:dyDescent="0.25">
      <c r="A25" s="79" t="s">
        <v>1070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5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7">-C25*E25+K25+F25</f>
        <v>448628.5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8">C26*E26+K26-F26</f>
        <v>-832040.125</v>
      </c>
    </row>
    <row r="27" spans="1:30" x14ac:dyDescent="0.25">
      <c r="A27" s="76" t="s">
        <v>1070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9">-C27*E27+K27+F27</f>
        <v>855964.85500000045</v>
      </c>
      <c r="AA27" t="s">
        <v>25</v>
      </c>
    </row>
    <row r="28" spans="1:30" x14ac:dyDescent="0.25">
      <c r="A28" s="90"/>
      <c r="B28" s="90"/>
      <c r="C28" s="90"/>
      <c r="D28" s="90"/>
      <c r="E28" s="91"/>
      <c r="F28" s="91"/>
      <c r="G28" s="90"/>
      <c r="H28" s="90"/>
      <c r="I28" s="91"/>
      <c r="J28" s="90"/>
      <c r="K28" s="91"/>
      <c r="L28" s="90"/>
      <c r="M28" s="92"/>
      <c r="N28" s="90"/>
      <c r="O28" s="90"/>
      <c r="P28" s="92"/>
      <c r="Q28" s="92"/>
      <c r="R28" s="90"/>
      <c r="S28" s="91"/>
    </row>
    <row r="29" spans="1:30" x14ac:dyDescent="0.25">
      <c r="A29" s="90"/>
      <c r="B29" s="90"/>
      <c r="C29" s="90"/>
      <c r="D29" s="90"/>
      <c r="E29" s="91"/>
      <c r="F29" s="91"/>
      <c r="G29" s="90"/>
      <c r="H29" s="90"/>
      <c r="I29" s="91"/>
      <c r="J29" s="90"/>
      <c r="K29" s="91"/>
      <c r="L29" s="90"/>
      <c r="M29" s="92"/>
      <c r="N29" s="90"/>
      <c r="O29" s="90"/>
      <c r="P29" s="92"/>
      <c r="Q29" s="92"/>
      <c r="R29" s="90"/>
      <c r="S29" s="91"/>
    </row>
    <row r="30" spans="1:30" x14ac:dyDescent="0.25">
      <c r="A30" s="79" t="s">
        <v>1059</v>
      </c>
      <c r="B30" s="79" t="s">
        <v>1045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3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f t="shared" ref="S30:S63" si="40">C30*E30+K30-F30</f>
        <v>-42.438975000753999</v>
      </c>
    </row>
    <row r="31" spans="1:30" x14ac:dyDescent="0.25">
      <c r="A31" s="79" t="s">
        <v>1059</v>
      </c>
      <c r="B31" s="79" t="s">
        <v>1045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3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f t="shared" ref="S31:S63" si="41">-C31*E31+K31+F31</f>
        <v>8.750000037252903E-2</v>
      </c>
    </row>
    <row r="32" spans="1:30" x14ac:dyDescent="0.25">
      <c r="A32" s="76" t="s">
        <v>1059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3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f t="shared" ref="S32:S63" si="42">C32*E32+K32-F32</f>
        <v>1.75</v>
      </c>
    </row>
    <row r="33" spans="1:23" x14ac:dyDescent="0.25">
      <c r="A33" s="76" t="s">
        <v>1059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3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f t="shared" ref="S33:S63" si="43">-C33*E33+K33+F33</f>
        <v>-0.75</v>
      </c>
    </row>
    <row r="34" spans="1:23" x14ac:dyDescent="0.25">
      <c r="A34" s="79" t="s">
        <v>1059</v>
      </c>
      <c r="B34" s="79" t="s">
        <v>1045</v>
      </c>
      <c r="C34" s="79">
        <v>140</v>
      </c>
      <c r="D34" s="79" t="s">
        <v>1061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3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f t="shared" ref="S34:S63" si="44">C34*E34+K34-F34</f>
        <v>-27.04700000025332</v>
      </c>
    </row>
    <row r="35" spans="1:23" x14ac:dyDescent="0.25">
      <c r="A35" s="79" t="s">
        <v>1059</v>
      </c>
      <c r="B35" s="79" t="s">
        <v>1045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3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f t="shared" ref="S35:S63" si="45">-C35*E35+K35+F35</f>
        <v>125.37900000065565</v>
      </c>
    </row>
    <row r="36" spans="1:23" x14ac:dyDescent="0.25">
      <c r="A36" s="76" t="s">
        <v>1070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6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:S63" si="47">C36*E36+K36-F36</f>
        <v>-33703.5</v>
      </c>
    </row>
    <row r="37" spans="1:23" x14ac:dyDescent="0.25">
      <c r="A37" s="76" t="s">
        <v>1070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6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 t="shared" ref="S37:S63" si="48">-C37*E37+K37+F37</f>
        <v>33703</v>
      </c>
    </row>
    <row r="38" spans="1:23" x14ac:dyDescent="0.25">
      <c r="A38" s="79" t="s">
        <v>1070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47" si="49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14">
        <f t="shared" ref="S38:S63" si="50">C38*E38+K38-F38</f>
        <v>-1252998.5</v>
      </c>
    </row>
    <row r="39" spans="1:23" x14ac:dyDescent="0.25">
      <c r="A39" s="79" t="s">
        <v>1070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9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51">M39*N39/C38</f>
        <v>216806.5</v>
      </c>
      <c r="Q39" s="81">
        <f t="shared" ref="Q39" si="52">M39*O39/C38</f>
        <v>216806.5</v>
      </c>
      <c r="R39" s="79"/>
      <c r="S39" s="14">
        <f t="shared" ref="S39:S63" si="53">-C39*E39+K39+F39</f>
        <v>1252949</v>
      </c>
    </row>
    <row r="40" spans="1:23" x14ac:dyDescent="0.25">
      <c r="A40" s="76" t="s">
        <v>25</v>
      </c>
      <c r="B40" s="76"/>
      <c r="C40" s="76">
        <v>1</v>
      </c>
      <c r="D40" s="76"/>
      <c r="E40" s="77"/>
      <c r="F40" s="77"/>
      <c r="G40" s="76"/>
      <c r="H40" s="76"/>
      <c r="I40" s="77">
        <f>F40*G40*($AB$2-H40)/(36500)</f>
        <v>0</v>
      </c>
      <c r="J40" s="76">
        <v>7.2499999999999995E-2</v>
      </c>
      <c r="K40" s="77">
        <f t="shared" si="49"/>
        <v>0</v>
      </c>
      <c r="L40" s="76">
        <f t="shared" ref="L40" si="54">(E40*(1+J40/100)+I40/C40)/(1-J41/100)</f>
        <v>0</v>
      </c>
      <c r="M40" s="78"/>
      <c r="N40" s="76"/>
      <c r="O40" s="76"/>
      <c r="P40" s="78"/>
      <c r="Q40" s="78"/>
      <c r="R40" s="76"/>
      <c r="S40" s="14">
        <f t="shared" ref="S40:S63" si="55">C40*E40+K40-F40</f>
        <v>0</v>
      </c>
    </row>
    <row r="41" spans="1:23" x14ac:dyDescent="0.25">
      <c r="A41" s="76"/>
      <c r="B41" s="76"/>
      <c r="C41" s="76">
        <v>1</v>
      </c>
      <c r="D41" s="76"/>
      <c r="E41" s="77"/>
      <c r="F41" s="77"/>
      <c r="G41" s="76"/>
      <c r="H41" s="76"/>
      <c r="I41" s="77"/>
      <c r="J41" s="76">
        <v>7.2499999999999995E-2</v>
      </c>
      <c r="K41" s="77">
        <f t="shared" si="49"/>
        <v>0</v>
      </c>
      <c r="L41" s="76">
        <v>19</v>
      </c>
      <c r="M41" s="78">
        <f t="shared" ref="M41" si="56">F41-F40</f>
        <v>0</v>
      </c>
      <c r="N41" s="76">
        <v>50</v>
      </c>
      <c r="O41" s="76">
        <v>50</v>
      </c>
      <c r="P41" s="78">
        <f t="shared" ref="P41" si="57">M41*N41/C40</f>
        <v>0</v>
      </c>
      <c r="Q41" s="78">
        <f t="shared" ref="Q41" si="58">M41*O41/C40</f>
        <v>0</v>
      </c>
      <c r="R41" s="76"/>
      <c r="S41" s="14">
        <f t="shared" ref="S41:S63" si="59">-C41*E41+K41+F41</f>
        <v>0</v>
      </c>
    </row>
    <row r="42" spans="1:23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9"/>
        <v>0</v>
      </c>
      <c r="L42" s="79">
        <f t="shared" ref="L42:L46" si="60">(E42*(1+J42/100)+I42/C42)/(1-J43/100)</f>
        <v>0</v>
      </c>
      <c r="M42" s="81"/>
      <c r="N42" s="79"/>
      <c r="O42" s="79"/>
      <c r="P42" s="81"/>
      <c r="Q42" s="81"/>
      <c r="R42" s="79"/>
      <c r="S42" s="14">
        <f t="shared" ref="S42:S63" si="61">C42*E42+K42-F42</f>
        <v>0</v>
      </c>
    </row>
    <row r="43" spans="1:23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9"/>
        <v>0</v>
      </c>
      <c r="L43" s="79">
        <v>20</v>
      </c>
      <c r="M43" s="81">
        <f t="shared" ref="M43" si="62">F43-F42</f>
        <v>0</v>
      </c>
      <c r="N43" s="79">
        <v>50</v>
      </c>
      <c r="O43" s="79">
        <v>50</v>
      </c>
      <c r="P43" s="81">
        <f t="shared" ref="P43" si="63">M43*N43/C42</f>
        <v>0</v>
      </c>
      <c r="Q43" s="81">
        <f t="shared" ref="Q43" si="64">M43*O43/C42</f>
        <v>0</v>
      </c>
      <c r="R43" s="79"/>
      <c r="S43" s="14">
        <f t="shared" ref="S43:S63" si="65">-C43*E43+K43+F43</f>
        <v>0</v>
      </c>
    </row>
    <row r="44" spans="1:23" x14ac:dyDescent="0.25">
      <c r="A44" s="76"/>
      <c r="B44" s="76"/>
      <c r="C44" s="76">
        <v>1</v>
      </c>
      <c r="D44" s="76"/>
      <c r="E44" s="77"/>
      <c r="F44" s="77"/>
      <c r="G44" s="76"/>
      <c r="H44" s="76"/>
      <c r="I44" s="77">
        <f>F44*G44*($AB$2-H44)/(36500)</f>
        <v>0</v>
      </c>
      <c r="J44" s="76">
        <v>7.2499999999999995E-2</v>
      </c>
      <c r="K44" s="77">
        <f t="shared" si="49"/>
        <v>0</v>
      </c>
      <c r="L44" s="76">
        <f t="shared" ref="L44" si="66">(E44*(1+J44/100)+I44/C44)/(1-J45/100)</f>
        <v>0</v>
      </c>
      <c r="M44" s="78"/>
      <c r="N44" s="76"/>
      <c r="O44" s="76"/>
      <c r="P44" s="78"/>
      <c r="Q44" s="78"/>
      <c r="R44" s="76"/>
      <c r="S44" s="14">
        <f t="shared" ref="S44:S63" si="67">C44*E44+K44-F44</f>
        <v>0</v>
      </c>
    </row>
    <row r="45" spans="1:23" x14ac:dyDescent="0.25">
      <c r="A45" s="76"/>
      <c r="B45" s="76"/>
      <c r="C45" s="76">
        <v>1</v>
      </c>
      <c r="D45" s="76"/>
      <c r="E45" s="77"/>
      <c r="F45" s="77"/>
      <c r="G45" s="76"/>
      <c r="H45" s="76"/>
      <c r="I45" s="77"/>
      <c r="J45" s="76">
        <v>7.2499999999999995E-2</v>
      </c>
      <c r="K45" s="77">
        <f t="shared" si="49"/>
        <v>0</v>
      </c>
      <c r="L45" s="76">
        <v>21</v>
      </c>
      <c r="M45" s="78">
        <f t="shared" ref="M45" si="68">F45-F44</f>
        <v>0</v>
      </c>
      <c r="N45" s="76">
        <v>50</v>
      </c>
      <c r="O45" s="76">
        <v>50</v>
      </c>
      <c r="P45" s="78">
        <f t="shared" ref="P45" si="69">M45*N45/C44</f>
        <v>0</v>
      </c>
      <c r="Q45" s="78">
        <f t="shared" ref="Q45" si="70">M45*O45/C44</f>
        <v>0</v>
      </c>
      <c r="R45" s="76"/>
      <c r="S45" s="14">
        <f t="shared" ref="S45:S63" si="71">-C45*E45+K45+F45</f>
        <v>0</v>
      </c>
    </row>
    <row r="46" spans="1:23" x14ac:dyDescent="0.25">
      <c r="A46" s="79"/>
      <c r="B46" s="79"/>
      <c r="C46" s="79">
        <v>1</v>
      </c>
      <c r="D46" s="79"/>
      <c r="E46" s="79"/>
      <c r="F46" s="79"/>
      <c r="G46" s="79"/>
      <c r="H46" s="79"/>
      <c r="I46" s="79">
        <f>F46*G46*($AB$2-H46)/(36500)</f>
        <v>0</v>
      </c>
      <c r="J46" s="79">
        <v>7.2499999999999995E-2</v>
      </c>
      <c r="K46" s="79">
        <f t="shared" si="49"/>
        <v>0</v>
      </c>
      <c r="L46" s="79">
        <f t="shared" si="60"/>
        <v>0</v>
      </c>
      <c r="M46" s="79"/>
      <c r="N46" s="79"/>
      <c r="O46" s="79"/>
      <c r="P46" s="79"/>
      <c r="Q46" s="79"/>
      <c r="R46" s="79"/>
      <c r="S46" s="14">
        <f t="shared" ref="S46:S63" si="72">C46*E46+K46-F46</f>
        <v>0</v>
      </c>
    </row>
    <row r="47" spans="1:23" x14ac:dyDescent="0.25">
      <c r="A47" s="79"/>
      <c r="B47" s="79"/>
      <c r="C47" s="79">
        <v>1</v>
      </c>
      <c r="D47" s="79"/>
      <c r="E47" s="79"/>
      <c r="F47" s="79"/>
      <c r="G47" s="79"/>
      <c r="H47" s="79"/>
      <c r="I47" s="79"/>
      <c r="J47" s="79">
        <v>7.2499999999999995E-2</v>
      </c>
      <c r="K47" s="79">
        <f t="shared" si="49"/>
        <v>0</v>
      </c>
      <c r="L47" s="79">
        <v>22</v>
      </c>
      <c r="M47" s="79">
        <f t="shared" ref="M47" si="73">F47-F46</f>
        <v>0</v>
      </c>
      <c r="N47" s="79">
        <v>50</v>
      </c>
      <c r="O47" s="79">
        <v>50</v>
      </c>
      <c r="P47" s="79">
        <f t="shared" ref="P47" si="74">M47*N47/C46</f>
        <v>0</v>
      </c>
      <c r="Q47" s="79">
        <f t="shared" ref="Q47" si="75">M47*O47/C46</f>
        <v>0</v>
      </c>
      <c r="R47" s="79"/>
      <c r="S47" s="14">
        <f t="shared" ref="S47:S63" si="76">-C47*E47+K47+F47</f>
        <v>0</v>
      </c>
    </row>
    <row r="48" spans="1:23" x14ac:dyDescent="0.25">
      <c r="A48" s="16" t="s">
        <v>960</v>
      </c>
      <c r="B48" s="16" t="s">
        <v>987</v>
      </c>
      <c r="C48" s="16">
        <v>100</v>
      </c>
      <c r="D48" s="16" t="s">
        <v>61</v>
      </c>
      <c r="E48" s="14">
        <v>97875</v>
      </c>
      <c r="F48" s="14">
        <v>10210616</v>
      </c>
      <c r="G48" s="16">
        <v>8</v>
      </c>
      <c r="H48" s="16">
        <v>21</v>
      </c>
      <c r="I48" s="14">
        <f>F48*G48*($AB$2-H48)/(36500)</f>
        <v>2237.9432328767125</v>
      </c>
      <c r="J48" s="16">
        <v>7.2499999999999995E-2</v>
      </c>
      <c r="K48" s="14">
        <f>C48*E48*J48/100</f>
        <v>7095.9375</v>
      </c>
      <c r="L48" s="16">
        <f>(E48*(1+J48/100)+I48/C48)/(1-J49/100)-(S48/C48)*(G48/365)*($AB$2/100)</f>
        <v>98059.477530412303</v>
      </c>
      <c r="M48" s="16"/>
      <c r="N48" s="16"/>
      <c r="O48" s="16"/>
      <c r="P48" s="16"/>
      <c r="Q48" s="16"/>
      <c r="R48" s="14">
        <v>100000</v>
      </c>
      <c r="S48" s="14">
        <f t="shared" ref="S48:S63" si="77">C48*E48+K48-F48</f>
        <v>-416020.0625</v>
      </c>
      <c r="W48" t="s">
        <v>25</v>
      </c>
    </row>
    <row r="49" spans="1:19" x14ac:dyDescent="0.25">
      <c r="A49" s="16"/>
      <c r="B49" s="16"/>
      <c r="C49" s="16"/>
      <c r="D49" s="16"/>
      <c r="E49" s="14"/>
      <c r="F49" s="14"/>
      <c r="G49" s="16"/>
      <c r="H49" s="16"/>
      <c r="I49" s="14">
        <f>F49*G49*($AB$2-H49)/(36500)</f>
        <v>0</v>
      </c>
      <c r="J49" s="16">
        <v>7.2499999999999995E-2</v>
      </c>
      <c r="K49" s="16"/>
      <c r="L49" s="16">
        <v>0</v>
      </c>
      <c r="M49" s="16"/>
      <c r="N49" s="16">
        <v>50</v>
      </c>
      <c r="O49" s="16">
        <f>C48-N49</f>
        <v>50</v>
      </c>
      <c r="P49" s="16">
        <f>M49*N49/C48</f>
        <v>0</v>
      </c>
      <c r="Q49" s="16">
        <f>M49*O49/C48</f>
        <v>0</v>
      </c>
      <c r="R49" s="16"/>
      <c r="S49" s="14">
        <f t="shared" ref="S49:S63" si="78">-C49*E49+K49+F49</f>
        <v>0</v>
      </c>
    </row>
    <row r="50" spans="1:19" x14ac:dyDescent="0.25">
      <c r="A50" s="83" t="s">
        <v>1070</v>
      </c>
      <c r="B50" s="83" t="s">
        <v>991</v>
      </c>
      <c r="C50" s="83">
        <v>1900</v>
      </c>
      <c r="D50" s="83" t="s">
        <v>61</v>
      </c>
      <c r="E50" s="84">
        <v>85536</v>
      </c>
      <c r="F50" s="84">
        <v>170893386</v>
      </c>
      <c r="G50" s="83">
        <v>6</v>
      </c>
      <c r="H50" s="83">
        <v>15</v>
      </c>
      <c r="I50" s="84">
        <f>F50*G50*($AB$2-H50)/(36500)</f>
        <v>196644.44416438357</v>
      </c>
      <c r="J50" s="83">
        <v>7.2499999999999995E-2</v>
      </c>
      <c r="K50" s="84">
        <f>C50*E50*J50/100</f>
        <v>117825.84</v>
      </c>
      <c r="L50" s="84">
        <f>(E50*(1+J50/100)+I50/C50)/(1-J51/100)-(S50/C50)*(G50/365)*($AB$2/100)</f>
        <v>85779.405935242379</v>
      </c>
      <c r="M50" s="83"/>
      <c r="N50" s="83"/>
      <c r="O50" s="83"/>
      <c r="P50" s="83"/>
      <c r="Q50" s="83"/>
      <c r="R50" s="84">
        <v>85600</v>
      </c>
      <c r="S50" s="14">
        <f t="shared" ref="S50:S63" si="79">C50*E50+K50-F50</f>
        <v>-8257160.1599999964</v>
      </c>
    </row>
    <row r="51" spans="1:19" x14ac:dyDescent="0.25">
      <c r="A51" s="83"/>
      <c r="B51" s="83"/>
      <c r="C51" s="83"/>
      <c r="D51" s="83"/>
      <c r="E51" s="83"/>
      <c r="F51" s="83"/>
      <c r="G51" s="83"/>
      <c r="H51" s="83"/>
      <c r="I51" s="84"/>
      <c r="J51" s="83">
        <v>7.2499999999999995E-2</v>
      </c>
      <c r="K51" s="83"/>
      <c r="L51" s="83"/>
      <c r="M51" s="83"/>
      <c r="N51" s="83">
        <v>950</v>
      </c>
      <c r="O51" s="83">
        <v>950</v>
      </c>
      <c r="P51" s="83"/>
      <c r="Q51" s="83"/>
      <c r="R51" s="83"/>
      <c r="S51" s="14">
        <f t="shared" ref="S51:S63" si="80">-C51*E51+K51+F51</f>
        <v>0</v>
      </c>
    </row>
    <row r="52" spans="1:19" x14ac:dyDescent="0.25">
      <c r="A52" s="16" t="s">
        <v>1070</v>
      </c>
      <c r="B52" s="16" t="s">
        <v>965</v>
      </c>
      <c r="C52" s="16">
        <v>8</v>
      </c>
      <c r="D52" s="14" t="s">
        <v>61</v>
      </c>
      <c r="E52" s="14">
        <v>82200</v>
      </c>
      <c r="F52" s="14">
        <v>658076</v>
      </c>
      <c r="G52" s="16">
        <v>6</v>
      </c>
      <c r="H52" s="16">
        <v>0</v>
      </c>
      <c r="I52" s="16">
        <f>F52*G52*($AB$2-H52)/(36500)</f>
        <v>2379.8912876712329</v>
      </c>
      <c r="J52" s="16">
        <v>7.2499999999999995E-2</v>
      </c>
      <c r="K52" s="16">
        <f>C52*E52*J52/100</f>
        <v>476.76</v>
      </c>
      <c r="L52" s="16">
        <f>(E52*(1+J52/100)+I52/C52)/(1-J53/100)-(S52/C52)*(G52/365)*($AB$2/100)</f>
        <v>82616.978376969651</v>
      </c>
      <c r="M52" s="16"/>
      <c r="N52" s="16"/>
      <c r="O52" s="16"/>
      <c r="P52" s="16"/>
      <c r="Q52" s="16"/>
      <c r="R52" s="14">
        <v>82200</v>
      </c>
      <c r="S52" s="14">
        <f t="shared" ref="S52:S63" si="81">C52*E52+K52-F52</f>
        <v>0.76000000000931323</v>
      </c>
    </row>
    <row r="53" spans="1:19" x14ac:dyDescent="0.25">
      <c r="A53" s="16"/>
      <c r="B53" s="16"/>
      <c r="C53" s="16"/>
      <c r="D53" s="16"/>
      <c r="E53" s="14"/>
      <c r="F53" s="16"/>
      <c r="G53" s="16"/>
      <c r="H53" s="14"/>
      <c r="I53" s="16">
        <f>F53*G53*($AB$2-H53)/(36500)</f>
        <v>0</v>
      </c>
      <c r="J53" s="16">
        <v>7.2499999999999995E-2</v>
      </c>
      <c r="K53" s="16"/>
      <c r="L53" s="14">
        <v>0</v>
      </c>
      <c r="M53" s="16"/>
      <c r="N53" s="16">
        <v>4</v>
      </c>
      <c r="O53" s="14">
        <f>C52-N53</f>
        <v>4</v>
      </c>
      <c r="P53" s="14">
        <f>M53*N53/C52</f>
        <v>0</v>
      </c>
      <c r="Q53" s="16">
        <f>M53*O53/C52</f>
        <v>0</v>
      </c>
      <c r="R53" s="14">
        <f t="shared" ref="R53" si="82">E53-D53*B53+J53</f>
        <v>7.2499999999999995E-2</v>
      </c>
      <c r="S53" s="14">
        <f t="shared" ref="S53:S63" si="83">-C53*E53+K53+F53</f>
        <v>0</v>
      </c>
    </row>
    <row r="54" spans="1:19" x14ac:dyDescent="0.25">
      <c r="A54" s="83"/>
      <c r="B54" s="83"/>
      <c r="C54" s="83"/>
      <c r="D54" s="83"/>
      <c r="E54" s="83"/>
      <c r="F54" s="83"/>
      <c r="G54" s="83"/>
      <c r="H54" s="83"/>
      <c r="I54" s="84"/>
      <c r="J54" s="83"/>
      <c r="K54" s="83"/>
      <c r="L54" s="83"/>
      <c r="M54" s="83"/>
      <c r="N54" s="83"/>
      <c r="O54" s="83"/>
      <c r="P54" s="83"/>
      <c r="Q54" s="83"/>
      <c r="R54" s="83"/>
      <c r="S54" s="14">
        <f t="shared" ref="S54:S63" si="84">C54*E54+K54-F54</f>
        <v>0</v>
      </c>
    </row>
    <row r="55" spans="1:19" x14ac:dyDescent="0.25">
      <c r="A55" s="83"/>
      <c r="B55" s="83"/>
      <c r="C55" s="83"/>
      <c r="D55" s="83"/>
      <c r="E55" s="83"/>
      <c r="F55" s="83"/>
      <c r="G55" s="83"/>
      <c r="H55" s="83"/>
      <c r="I55" s="84"/>
      <c r="J55" s="83"/>
      <c r="K55" s="83"/>
      <c r="L55" s="83"/>
      <c r="M55" s="83"/>
      <c r="N55" s="83"/>
      <c r="O55" s="83"/>
      <c r="P55" s="83"/>
      <c r="Q55" s="83"/>
      <c r="R55" s="83"/>
      <c r="S55" s="14">
        <f t="shared" ref="S55:S63" si="85">-C55*E55+K55+F55</f>
        <v>0</v>
      </c>
    </row>
    <row r="56" spans="1:19" x14ac:dyDescent="0.25">
      <c r="A56" s="16"/>
      <c r="B56" s="16"/>
      <c r="C56" s="16"/>
      <c r="D56" s="16"/>
      <c r="E56" s="16"/>
      <c r="F56" s="16"/>
      <c r="G56" s="16"/>
      <c r="H56" s="16"/>
      <c r="I56" s="14"/>
      <c r="J56" s="16"/>
      <c r="K56" s="16"/>
      <c r="L56" s="16"/>
      <c r="M56" s="16"/>
      <c r="N56" s="16"/>
      <c r="O56" s="16"/>
      <c r="P56" s="16"/>
      <c r="Q56" s="16"/>
      <c r="R56" s="16"/>
      <c r="S56" s="14">
        <f t="shared" ref="S56:S63" si="86">C56*E56+K56-F56</f>
        <v>0</v>
      </c>
    </row>
    <row r="57" spans="1:19" x14ac:dyDescent="0.25">
      <c r="A57" s="16"/>
      <c r="B57" s="16"/>
      <c r="C57" s="16"/>
      <c r="D57" s="16"/>
      <c r="E57" s="16"/>
      <c r="F57" s="16"/>
      <c r="G57" s="16"/>
      <c r="H57" s="16"/>
      <c r="I57" s="14"/>
      <c r="J57" s="16"/>
      <c r="K57" s="16"/>
      <c r="L57" s="16"/>
      <c r="M57" s="16"/>
      <c r="N57" s="16"/>
      <c r="O57" s="16"/>
      <c r="P57" s="16"/>
      <c r="Q57" s="16"/>
      <c r="R57" s="16"/>
      <c r="S57" s="14">
        <f t="shared" ref="S57:S63" si="87">-C57*E57+K57+F57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:S63" si="88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:S63" si="89">-C59*E59+K59+F59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 t="s">
        <v>25</v>
      </c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:S63" si="90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:S63" si="91">-C61*E61+K61+F61</f>
        <v>0</v>
      </c>
    </row>
    <row r="62" spans="1:19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:S63" si="92">C62*E62+K62-F62</f>
        <v>0</v>
      </c>
    </row>
    <row r="63" spans="1:19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93">-C63*E63+K63+F63</f>
        <v>0</v>
      </c>
    </row>
    <row r="64" spans="1:19" x14ac:dyDescent="0.25">
      <c r="A64" s="2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82"/>
      <c r="O64" s="82"/>
      <c r="P64" s="11"/>
      <c r="Q64" s="11"/>
      <c r="R64" s="11"/>
    </row>
    <row r="65" spans="1:19" x14ac:dyDescent="0.25">
      <c r="A65" s="2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>
        <f>SUM(M2:M63)</f>
        <v>4944891</v>
      </c>
      <c r="N65" s="11"/>
      <c r="O65" s="11"/>
      <c r="P65" s="3">
        <f>SUM(P2:P64)</f>
        <v>3173087.5</v>
      </c>
      <c r="Q65" s="3">
        <f>SUM(Q3:Q64)</f>
        <v>1771803.5</v>
      </c>
      <c r="R65" s="11"/>
    </row>
    <row r="66" spans="1:19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 t="s">
        <v>191</v>
      </c>
      <c r="N66" s="11"/>
      <c r="O66" s="11"/>
      <c r="P66" s="11" t="s">
        <v>1057</v>
      </c>
      <c r="Q66" s="11" t="s">
        <v>1058</v>
      </c>
      <c r="R66" s="11"/>
      <c r="S66" t="s">
        <v>25</v>
      </c>
    </row>
    <row r="67" spans="1:19" x14ac:dyDescent="0.25">
      <c r="A67" s="25"/>
    </row>
    <row r="68" spans="1:19" x14ac:dyDescent="0.25">
      <c r="A68" s="25"/>
    </row>
    <row r="69" spans="1:19" x14ac:dyDescent="0.25">
      <c r="F69" s="7"/>
    </row>
    <row r="71" spans="1:19" x14ac:dyDescent="0.25">
      <c r="E71" s="11" t="s">
        <v>984</v>
      </c>
      <c r="F71" s="11" t="s">
        <v>182</v>
      </c>
    </row>
    <row r="72" spans="1:19" x14ac:dyDescent="0.25">
      <c r="E72" s="11" t="s">
        <v>985</v>
      </c>
      <c r="F72" s="3">
        <v>1782805</v>
      </c>
    </row>
    <row r="73" spans="1:19" x14ac:dyDescent="0.25">
      <c r="E73" s="11" t="s">
        <v>987</v>
      </c>
      <c r="F73" s="3">
        <f>C48*R48*(1-J49/100)</f>
        <v>9992750</v>
      </c>
    </row>
    <row r="74" spans="1:19" x14ac:dyDescent="0.25">
      <c r="E74" s="11" t="s">
        <v>991</v>
      </c>
      <c r="F74" s="3">
        <f>C50*R50*(1-J51/100)</f>
        <v>162522086</v>
      </c>
    </row>
    <row r="75" spans="1:19" x14ac:dyDescent="0.25">
      <c r="E75" s="11" t="s">
        <v>965</v>
      </c>
      <c r="F75" s="3">
        <f>C52*R52*(1-J53/100)</f>
        <v>657123.24</v>
      </c>
    </row>
    <row r="76" spans="1:19" x14ac:dyDescent="0.25">
      <c r="E76" s="11" t="s">
        <v>1046</v>
      </c>
      <c r="F76" s="3">
        <f>-S48</f>
        <v>416020.0625</v>
      </c>
    </row>
    <row r="77" spans="1:19" x14ac:dyDescent="0.25">
      <c r="E77" s="11" t="s">
        <v>1075</v>
      </c>
      <c r="F77" s="3">
        <f>-S50</f>
        <v>8257160.1599999964</v>
      </c>
    </row>
    <row r="78" spans="1:19" x14ac:dyDescent="0.25">
      <c r="E78" s="11"/>
      <c r="F78" s="11"/>
    </row>
    <row r="79" spans="1:19" x14ac:dyDescent="0.25">
      <c r="E79" s="11"/>
      <c r="F79" s="11"/>
    </row>
    <row r="80" spans="1:19" x14ac:dyDescent="0.25">
      <c r="D80" t="s">
        <v>25</v>
      </c>
      <c r="E80" s="11"/>
      <c r="F80" s="11"/>
    </row>
    <row r="81" spans="5:14" x14ac:dyDescent="0.25">
      <c r="E81" s="11" t="s">
        <v>6</v>
      </c>
      <c r="F81" s="29">
        <f>SUM(F72:F80)</f>
        <v>183627944.46250001</v>
      </c>
      <c r="G81" s="25"/>
    </row>
    <row r="82" spans="5:14" x14ac:dyDescent="0.25">
      <c r="E82" s="11"/>
      <c r="F82" s="11"/>
      <c r="I82" s="25"/>
    </row>
    <row r="83" spans="5:14" x14ac:dyDescent="0.25">
      <c r="E83" s="11" t="s">
        <v>980</v>
      </c>
      <c r="F83" s="29">
        <f>F81-AG12</f>
        <v>3877736.2433219254</v>
      </c>
      <c r="I83" s="25"/>
    </row>
    <row r="84" spans="5:14" x14ac:dyDescent="0.25">
      <c r="I84" s="28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  <row r="91" spans="5:14" x14ac:dyDescent="0.25">
      <c r="N91" s="25"/>
    </row>
    <row r="92" spans="5:14" x14ac:dyDescent="0.25">
      <c r="N92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zoomScaleNormal="100" workbookViewId="0">
      <selection activeCell="T4" sqref="T4"/>
    </sheetView>
  </sheetViews>
  <sheetFormatPr defaultRowHeight="15" x14ac:dyDescent="0.25"/>
  <cols>
    <col min="2" max="2" width="11.42578125" bestFit="1" customWidth="1"/>
    <col min="3" max="3" width="12.42578125" bestFit="1" customWidth="1"/>
    <col min="5" max="5" width="9" bestFit="1" customWidth="1"/>
    <col min="6" max="6" width="10.85546875" bestFit="1" customWidth="1"/>
    <col min="7" max="7" width="12.140625" bestFit="1" customWidth="1"/>
    <col min="8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5.140625" bestFit="1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1096</v>
      </c>
      <c r="D1" s="11" t="s">
        <v>1001</v>
      </c>
      <c r="E1" s="11" t="s">
        <v>1092</v>
      </c>
      <c r="F1" s="11" t="s">
        <v>1002</v>
      </c>
      <c r="G1" s="11" t="s">
        <v>999</v>
      </c>
      <c r="H1" s="11" t="s">
        <v>1086</v>
      </c>
      <c r="I1" s="11" t="s">
        <v>1037</v>
      </c>
      <c r="J1" s="11" t="s">
        <v>1014</v>
      </c>
      <c r="K1" s="11" t="s">
        <v>968</v>
      </c>
      <c r="L1" s="69" t="s">
        <v>1091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1076</v>
      </c>
      <c r="AC1" t="s">
        <v>1087</v>
      </c>
      <c r="AD1" t="s">
        <v>1088</v>
      </c>
    </row>
    <row r="2" spans="1:30" x14ac:dyDescent="0.25">
      <c r="A2" s="11" t="s">
        <v>992</v>
      </c>
      <c r="B2" s="43">
        <f t="shared" ref="B2:B29" si="0">J2/(1+($T$2-D2+E2)/36500)^H2</f>
        <v>92826.460288392773</v>
      </c>
      <c r="C2" s="43">
        <f t="shared" ref="C2:C29" si="1">J2/(1+($T$3-D2+E2)/36500)^H2</f>
        <v>93832.583724901735</v>
      </c>
      <c r="D2" s="11">
        <v>0</v>
      </c>
      <c r="E2" s="11">
        <v>0</v>
      </c>
      <c r="F2" s="11">
        <v>0</v>
      </c>
      <c r="G2" s="11" t="s">
        <v>1023</v>
      </c>
      <c r="H2" s="20">
        <f>132-$U$8</f>
        <v>127</v>
      </c>
      <c r="I2" s="20">
        <f t="shared" ref="I2:I29" si="2">H2/30.5</f>
        <v>4.1639344262295079</v>
      </c>
      <c r="J2" s="3">
        <v>100000</v>
      </c>
      <c r="K2" s="3">
        <v>92020</v>
      </c>
      <c r="L2" s="3">
        <f t="shared" ref="L2:L29" si="3">B2*(1+$T$2/36500)^H2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1077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92200.782958823824</v>
      </c>
      <c r="D3" s="16">
        <v>0</v>
      </c>
      <c r="E3" s="16">
        <v>0</v>
      </c>
      <c r="F3" s="16">
        <v>0</v>
      </c>
      <c r="G3" s="16" t="s">
        <v>1024</v>
      </c>
      <c r="H3" s="16">
        <f>167-$U$8</f>
        <v>162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18.3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90870.238663593307</v>
      </c>
      <c r="D4" s="11">
        <v>0</v>
      </c>
      <c r="E4" s="11">
        <v>0</v>
      </c>
      <c r="F4" s="11">
        <v>0</v>
      </c>
      <c r="G4" s="11" t="s">
        <v>1025</v>
      </c>
      <c r="H4" s="20">
        <f>196-$U$8</f>
        <v>191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74175.108681649013</v>
      </c>
      <c r="D5" s="16">
        <v>0</v>
      </c>
      <c r="E5" s="16">
        <v>0</v>
      </c>
      <c r="F5" s="16">
        <v>0</v>
      </c>
      <c r="G5" s="16" t="s">
        <v>1026</v>
      </c>
      <c r="H5" s="16">
        <f>601-$U$8</f>
        <v>596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87473.682743526326</v>
      </c>
      <c r="D6" s="11">
        <v>0</v>
      </c>
      <c r="E6" s="11">
        <v>0</v>
      </c>
      <c r="F6" s="11">
        <v>0</v>
      </c>
      <c r="G6" s="11" t="s">
        <v>1027</v>
      </c>
      <c r="H6" s="20">
        <f>272-$U$8</f>
        <v>267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75223.48400596311</v>
      </c>
      <c r="D7" s="16">
        <v>0</v>
      </c>
      <c r="E7" s="16">
        <v>0</v>
      </c>
      <c r="F7" s="16">
        <v>0</v>
      </c>
      <c r="G7" s="16" t="s">
        <v>1028</v>
      </c>
      <c r="H7" s="16">
        <f>573-$U$8</f>
        <v>568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1085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86861.992009590933</v>
      </c>
      <c r="D8" s="11">
        <v>0</v>
      </c>
      <c r="E8" s="11">
        <v>0</v>
      </c>
      <c r="F8" s="11">
        <v>0</v>
      </c>
      <c r="G8" s="11" t="s">
        <v>1030</v>
      </c>
      <c r="H8" s="20">
        <f>286-$U$8</f>
        <v>281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1094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79248.847360765867</v>
      </c>
      <c r="D9" s="16">
        <v>0</v>
      </c>
      <c r="E9" s="16">
        <v>0</v>
      </c>
      <c r="F9" s="16">
        <v>0</v>
      </c>
      <c r="G9" s="16" t="s">
        <v>1029</v>
      </c>
      <c r="H9" s="16">
        <f>469-$U$8</f>
        <v>464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79248.847360765867</v>
      </c>
      <c r="D10" s="11">
        <v>0</v>
      </c>
      <c r="E10" s="11">
        <v>0</v>
      </c>
      <c r="F10" s="11">
        <v>0</v>
      </c>
      <c r="G10" s="11" t="s">
        <v>1029</v>
      </c>
      <c r="H10" s="20">
        <f>469-$U$8</f>
        <v>464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73398.426846355593</v>
      </c>
      <c r="D11" s="16">
        <v>0</v>
      </c>
      <c r="E11" s="16">
        <v>0</v>
      </c>
      <c r="F11" s="16">
        <v>0</v>
      </c>
      <c r="G11" s="16" t="s">
        <v>1033</v>
      </c>
      <c r="H11" s="16">
        <f>622-$U$8</f>
        <v>617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88045.537684906929</v>
      </c>
      <c r="D12" s="11">
        <v>0</v>
      </c>
      <c r="E12" s="11">
        <v>0</v>
      </c>
      <c r="F12" s="11">
        <v>0</v>
      </c>
      <c r="G12" s="11" t="s">
        <v>1034</v>
      </c>
      <c r="H12" s="20">
        <f>259-$U$8</f>
        <v>254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1095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71116.837062988969</v>
      </c>
      <c r="D13" s="16">
        <v>0</v>
      </c>
      <c r="E13" s="16">
        <v>0</v>
      </c>
      <c r="F13" s="16">
        <v>0</v>
      </c>
      <c r="G13" s="16" t="s">
        <v>1035</v>
      </c>
      <c r="H13" s="16">
        <f>685-$U$8</f>
        <v>680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72121.98742198736</v>
      </c>
      <c r="D14" s="11">
        <v>0</v>
      </c>
      <c r="E14" s="11">
        <v>0</v>
      </c>
      <c r="F14" s="11">
        <v>0</v>
      </c>
      <c r="G14" s="11" t="s">
        <v>1036</v>
      </c>
      <c r="H14" s="20">
        <f>657-$U$8</f>
        <v>652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72121.98742198736</v>
      </c>
      <c r="D15" s="16">
        <v>0</v>
      </c>
      <c r="E15" s="16">
        <v>0</v>
      </c>
      <c r="F15" s="16">
        <v>0</v>
      </c>
      <c r="G15" s="16" t="s">
        <v>1036</v>
      </c>
      <c r="H15" s="16">
        <f>657-$U$8</f>
        <v>652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74175.108681649013</v>
      </c>
      <c r="D16" s="11">
        <v>0</v>
      </c>
      <c r="E16" s="11">
        <v>0</v>
      </c>
      <c r="F16" s="11">
        <v>0</v>
      </c>
      <c r="G16" s="11" t="s">
        <v>1026</v>
      </c>
      <c r="H16" s="20">
        <f>601-$U$8</f>
        <v>596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92374.181131040939</v>
      </c>
      <c r="D17" s="16">
        <v>17</v>
      </c>
      <c r="E17" s="16">
        <f>$Z$2</f>
        <v>0.78</v>
      </c>
      <c r="F17" s="16">
        <v>6</v>
      </c>
      <c r="G17" s="16" t="s">
        <v>1041</v>
      </c>
      <c r="H17" s="16">
        <f>1397-$U$8</f>
        <v>1392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T17" s="87">
        <f>U17*((1+$T$2/36500)^30)</f>
        <v>10177393.935431281</v>
      </c>
      <c r="U17" s="3">
        <v>10000000</v>
      </c>
      <c r="V17" s="25"/>
      <c r="W17" s="26"/>
    </row>
    <row r="18" spans="1:23" x14ac:dyDescent="0.25">
      <c r="A18" s="11" t="s">
        <v>987</v>
      </c>
      <c r="B18" s="88">
        <f t="shared" si="0"/>
        <v>98058.794439591555</v>
      </c>
      <c r="C18" s="88">
        <f t="shared" si="1"/>
        <v>102826.62377161688</v>
      </c>
      <c r="D18" s="11">
        <v>21</v>
      </c>
      <c r="E18" s="11">
        <f t="shared" ref="E18:E23" si="8">$Z$1</f>
        <v>0.88</v>
      </c>
      <c r="F18" s="11">
        <v>3</v>
      </c>
      <c r="G18" s="11" t="s">
        <v>1007</v>
      </c>
      <c r="H18" s="20">
        <f>564-$U$8</f>
        <v>559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95105.743135528523</v>
      </c>
      <c r="D19" s="16">
        <v>16</v>
      </c>
      <c r="E19" s="11">
        <f t="shared" si="8"/>
        <v>0.88</v>
      </c>
      <c r="F19" s="16">
        <v>3</v>
      </c>
      <c r="G19" s="16" t="s">
        <v>1008</v>
      </c>
      <c r="H19" s="16">
        <f>581-$U$8</f>
        <v>576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103181.02184868202</v>
      </c>
      <c r="D20" s="11">
        <v>21</v>
      </c>
      <c r="E20" s="11">
        <f t="shared" si="8"/>
        <v>0.88</v>
      </c>
      <c r="F20" s="11">
        <v>3</v>
      </c>
      <c r="G20" s="11" t="s">
        <v>1009</v>
      </c>
      <c r="H20" s="20">
        <f>633-$U$8</f>
        <v>628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103531.47873083924</v>
      </c>
      <c r="D21" s="16">
        <v>21</v>
      </c>
      <c r="E21" s="11">
        <f t="shared" si="8"/>
        <v>0.88</v>
      </c>
      <c r="F21" s="16">
        <v>3</v>
      </c>
      <c r="G21" s="16" t="s">
        <v>1010</v>
      </c>
      <c r="H21" s="16">
        <f>701-$U$8</f>
        <v>696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97689.771943584579</v>
      </c>
      <c r="D22" s="11">
        <v>18</v>
      </c>
      <c r="E22" s="11">
        <f t="shared" si="8"/>
        <v>0.88</v>
      </c>
      <c r="F22" s="11">
        <v>3</v>
      </c>
      <c r="G22" s="11" t="s">
        <v>1039</v>
      </c>
      <c r="H22" s="20">
        <f>728-$U$8</f>
        <v>723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94362.958169948077</v>
      </c>
      <c r="D23" s="16">
        <v>16</v>
      </c>
      <c r="E23" s="11">
        <f t="shared" si="8"/>
        <v>0.88</v>
      </c>
      <c r="F23" s="16">
        <v>3</v>
      </c>
      <c r="G23" s="16" t="s">
        <v>1011</v>
      </c>
      <c r="H23" s="16">
        <f>671-$U$8</f>
        <v>666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89624.713528413762</v>
      </c>
      <c r="D24" s="11">
        <v>15</v>
      </c>
      <c r="E24" s="11">
        <f>$Z$2</f>
        <v>0.78</v>
      </c>
      <c r="F24" s="11">
        <v>6</v>
      </c>
      <c r="G24" s="11" t="s">
        <v>1012</v>
      </c>
      <c r="H24" s="20">
        <f>985-$U$8</f>
        <v>980</v>
      </c>
      <c r="I24" s="20">
        <f t="shared" si="2"/>
        <v>32.131147540983605</v>
      </c>
      <c r="J24" s="3">
        <v>100000</v>
      </c>
      <c r="K24" s="3">
        <v>82000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88">
        <f t="shared" si="0"/>
        <v>81071.850335360316</v>
      </c>
      <c r="C25" s="88">
        <f t="shared" si="1"/>
        <v>83573.355530164437</v>
      </c>
      <c r="D25" s="16">
        <v>0</v>
      </c>
      <c r="E25" s="16">
        <v>0</v>
      </c>
      <c r="F25" s="16">
        <v>0</v>
      </c>
      <c r="G25" s="16" t="s">
        <v>1013</v>
      </c>
      <c r="H25" s="16">
        <f>363-$U$8</f>
        <v>358</v>
      </c>
      <c r="I25" s="16">
        <f t="shared" si="2"/>
        <v>11.737704918032787</v>
      </c>
      <c r="J25" s="14">
        <v>100000</v>
      </c>
      <c r="K25" s="14">
        <v>80200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103239.91167705676</v>
      </c>
      <c r="D26" s="16">
        <v>20</v>
      </c>
      <c r="E26" s="16">
        <f>$Z$2</f>
        <v>0.78</v>
      </c>
      <c r="F26" s="16">
        <v>6</v>
      </c>
      <c r="G26" s="16" t="s">
        <v>1004</v>
      </c>
      <c r="H26" s="16">
        <f>1270-$U$8</f>
        <v>1265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102733.1719452424</v>
      </c>
      <c r="D27" s="20">
        <v>22</v>
      </c>
      <c r="E27" s="20">
        <f>Z1</f>
        <v>0.88</v>
      </c>
      <c r="F27" s="20">
        <v>3</v>
      </c>
      <c r="G27" s="20" t="s">
        <v>1006</v>
      </c>
      <c r="H27" s="20">
        <f>354-$U$8</f>
        <v>349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105861.45351763292</v>
      </c>
      <c r="D28" s="16">
        <v>21</v>
      </c>
      <c r="E28" s="16">
        <v>0</v>
      </c>
      <c r="F28" s="16">
        <v>1</v>
      </c>
      <c r="G28" s="16" t="s">
        <v>1032</v>
      </c>
      <c r="H28" s="16">
        <f>775-$U$8</f>
        <v>770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1089</v>
      </c>
      <c r="B29" s="43">
        <f t="shared" si="0"/>
        <v>82847.413497688525</v>
      </c>
      <c r="C29" s="43">
        <f t="shared" si="1"/>
        <v>92722.253523007181</v>
      </c>
      <c r="D29" s="20">
        <v>17</v>
      </c>
      <c r="E29" s="20">
        <f>Z2</f>
        <v>0.78</v>
      </c>
      <c r="F29" s="20">
        <v>6</v>
      </c>
      <c r="G29" s="20" t="s">
        <v>1090</v>
      </c>
      <c r="H29" s="20">
        <f>1331-$U$8</f>
        <v>1326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1103</v>
      </c>
    </row>
    <row r="2" spans="1:1" x14ac:dyDescent="0.25">
      <c r="A2" t="s">
        <v>1104</v>
      </c>
    </row>
    <row r="3" spans="1:1" x14ac:dyDescent="0.25">
      <c r="A3" t="s">
        <v>1105</v>
      </c>
    </row>
    <row r="4" spans="1:1" x14ac:dyDescent="0.25">
      <c r="A4" t="s">
        <v>1106</v>
      </c>
    </row>
    <row r="5" spans="1:1" x14ac:dyDescent="0.25">
      <c r="A5" t="s">
        <v>1107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1085</v>
      </c>
      <c r="B62" s="3">
        <v>-161000</v>
      </c>
      <c r="C62" s="11" t="s">
        <v>1093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1099</v>
      </c>
      <c r="B63" s="3">
        <v>-149505</v>
      </c>
      <c r="C63" s="11" t="s">
        <v>1100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I1" zoomScaleNormal="100" workbookViewId="0">
      <selection activeCell="O30" sqref="O3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91087738.962500006</v>
      </c>
      <c r="G15" s="29">
        <f t="shared" si="0"/>
        <v>1912261.037499994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527000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فروش'!F81</f>
        <v>183627944.46250001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91087738.962500006</v>
      </c>
      <c r="M27" s="11"/>
      <c r="N27" s="29">
        <f ca="1">SUM(N16:N28)</f>
        <v>154208003.5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2731598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148087738.96250001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1084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2018-03-24T08:27:47Z</dcterms:modified>
</cp:coreProperties>
</file>