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T126" i="18" l="1"/>
  <c r="R111" i="18"/>
  <c r="U126" i="18" s="1"/>
  <c r="L35" i="18"/>
  <c r="U110" i="18"/>
  <c r="V74" i="18" l="1"/>
  <c r="W74" i="18" s="1"/>
  <c r="X74" i="18" l="1"/>
  <c r="W103" i="18"/>
  <c r="W104" i="18"/>
  <c r="W105" i="18"/>
  <c r="W106" i="18"/>
  <c r="W107" i="18"/>
  <c r="W108" i="18"/>
  <c r="W109" i="18"/>
  <c r="W102" i="18"/>
  <c r="AJ97" i="18"/>
  <c r="N51" i="18" l="1"/>
  <c r="AS37" i="18" l="1"/>
  <c r="R142" i="18" l="1"/>
  <c r="R151" i="18"/>
  <c r="R133" i="18"/>
  <c r="R125" i="18"/>
  <c r="T85" i="18" l="1"/>
  <c r="S37" i="18"/>
  <c r="S38" i="18" s="1"/>
  <c r="S39" i="18" s="1"/>
  <c r="R107" i="18"/>
  <c r="R106" i="18"/>
  <c r="R105" i="18"/>
  <c r="AJ139" i="18"/>
  <c r="P25" i="18"/>
  <c r="N25" i="18" s="1"/>
  <c r="D46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4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3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4" i="20" l="1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2" i="18" s="1"/>
  <c r="T113" i="18" l="1"/>
  <c r="S90" i="18" s="1"/>
  <c r="Q77" i="18"/>
  <c r="AJ103" i="18"/>
  <c r="AJ104" i="18" s="1"/>
  <c r="AL74" i="18"/>
  <c r="AM75" i="18"/>
  <c r="AL73" i="18" l="1"/>
  <c r="AM74" i="18"/>
  <c r="N80" i="18"/>
  <c r="V73" i="18" s="1"/>
  <c r="W73" i="18" l="1"/>
  <c r="X73" i="18"/>
  <c r="V126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6" i="18" l="1"/>
  <c r="S89" i="18"/>
  <c r="U89" i="18" s="1"/>
  <c r="V89" i="18" s="1"/>
  <c r="S88" i="18"/>
  <c r="N33" i="18" s="1"/>
  <c r="L21" i="18" s="1"/>
  <c r="N58" i="18"/>
  <c r="S87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88" i="18" l="1"/>
  <c r="V88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7" i="18" l="1"/>
  <c r="V87" i="18" s="1"/>
  <c r="U90" i="18"/>
  <c r="V90" i="18" s="1"/>
</calcChain>
</file>

<file path=xl/sharedStrings.xml><?xml version="1.0" encoding="utf-8"?>
<sst xmlns="http://schemas.openxmlformats.org/spreadsheetml/2006/main" count="9684" uniqueCount="4559">
  <si>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</si>
  <si>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</si>
  <si>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</si>
  <si>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</si>
  <si>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</si>
  <si>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</si>
  <si>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</si>
  <si>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</si>
  <si>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</si>
  <si>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</si>
  <si>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</si>
  <si>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</si>
  <si>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</si>
  <si>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</si>
  <si>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</si>
  <si>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</si>
  <si>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</si>
  <si>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</si>
  <si>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</si>
  <si>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</si>
  <si>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</si>
  <si>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</si>
  <si>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</si>
  <si>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</si>
  <si>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</si>
  <si>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</si>
  <si>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</si>
  <si>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</si>
  <si>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</si>
  <si>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</si>
  <si>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</si>
  <si>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</si>
  <si>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</si>
  <si>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</si>
  <si>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</si>
  <si>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</si>
  <si>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</si>
  <si>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</si>
  <si>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</si>
  <si>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</si>
  <si>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</si>
  <si>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</si>
  <si>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</si>
  <si>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</si>
  <si>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</si>
  <si>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</si>
  <si>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</si>
  <si>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</si>
  <si>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</si>
  <si>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</si>
  <si>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</si>
  <si>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</si>
  <si>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</si>
  <si>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</si>
  <si>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</si>
  <si>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</si>
  <si>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</si>
  <si>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</si>
  <si>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</si>
  <si>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</si>
  <si>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</si>
  <si>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</si>
  <si>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</si>
  <si>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</si>
  <si>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</si>
  <si>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</si>
  <si>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</si>
  <si>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</si>
  <si>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</si>
  <si>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</si>
  <si>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</si>
  <si>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</si>
  <si>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</si>
  <si>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</si>
  <si>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</si>
  <si>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</si>
  <si>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</si>
  <si>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</si>
  <si>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</si>
  <si>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</si>
  <si>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</si>
  <si>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</si>
  <si>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</si>
  <si>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</si>
  <si>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</si>
  <si>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</si>
  <si>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</si>
  <si>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</si>
  <si>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</si>
  <si>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</si>
  <si>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</si>
  <si>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</si>
  <si>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</si>
  <si>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</si>
  <si>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</si>
  <si>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</si>
  <si>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</si>
  <si>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</si>
  <si>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</si>
  <si>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</si>
  <si>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</si>
  <si>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</si>
  <si>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</si>
  <si>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</si>
  <si>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</si>
  <si>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</si>
  <si>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</si>
  <si>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</si>
  <si>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</si>
  <si>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</si>
  <si>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</si>
  <si>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</si>
  <si>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</si>
  <si>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</si>
  <si>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</si>
  <si>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</si>
  <si>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</si>
  <si>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</si>
  <si>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</si>
  <si>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</si>
  <si>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</si>
  <si>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</si>
  <si>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</si>
  <si>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</si>
  <si>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</si>
  <si>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</si>
  <si>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</si>
  <si>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</si>
  <si>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</si>
  <si>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</si>
  <si>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</si>
  <si>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</si>
  <si>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</si>
  <si>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</si>
  <si>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</si>
  <si>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</si>
  <si>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</si>
  <si>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</si>
  <si>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</si>
  <si>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</si>
  <si>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</si>
  <si>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</si>
  <si>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</si>
  <si>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</si>
  <si>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</si>
  <si>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</si>
  <si>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</si>
  <si>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</si>
  <si>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</si>
  <si>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</si>
  <si>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</si>
  <si>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</si>
  <si>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</si>
  <si>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</si>
  <si>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</si>
  <si>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</si>
  <si>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</si>
  <si>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</si>
  <si>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</si>
  <si>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</si>
  <si>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</si>
  <si>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</si>
  <si>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</si>
  <si>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</si>
  <si>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</si>
  <si>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</si>
  <si>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</si>
  <si>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</si>
  <si>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</si>
  <si>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</si>
  <si>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</si>
  <si>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</si>
  <si>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</si>
  <si>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</si>
  <si>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</si>
  <si>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</si>
  <si>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</si>
  <si>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</si>
  <si>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</si>
  <si>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</si>
  <si>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</si>
  <si>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</si>
  <si>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</si>
  <si>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</si>
  <si>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</si>
  <si>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</si>
  <si>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</si>
  <si>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</si>
  <si>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</si>
  <si>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</si>
  <si>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</si>
  <si>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</si>
  <si>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</si>
  <si>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</si>
  <si>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</si>
  <si>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</si>
  <si>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</si>
  <si>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</si>
  <si>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</si>
  <si>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</si>
  <si>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</si>
  <si>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</si>
  <si>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</si>
  <si>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</si>
  <si>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</si>
  <si>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</si>
  <si>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</si>
  <si>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</si>
  <si>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</si>
  <si>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</si>
  <si>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</si>
  <si>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</si>
  <si>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</si>
  <si>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</si>
  <si>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</si>
  <si>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</si>
  <si>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</si>
  <si>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</si>
  <si>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</si>
  <si>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</si>
  <si>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</si>
  <si>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</si>
  <si>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</si>
  <si>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</si>
  <si>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</si>
  <si>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</si>
  <si>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</si>
  <si>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</si>
  <si>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</si>
  <si>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</si>
  <si>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</si>
  <si>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</si>
  <si>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</si>
  <si>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</si>
  <si>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</si>
  <si>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</si>
  <si>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</si>
  <si>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</si>
  <si>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</si>
  <si>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</si>
  <si>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</si>
  <si>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</si>
  <si>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</si>
  <si>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</si>
  <si>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</si>
  <si>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</si>
  <si>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</si>
  <si>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</si>
  <si>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</si>
  <si>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</si>
  <si>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</si>
  <si>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</si>
  <si>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</si>
  <si>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</si>
  <si>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</si>
  <si>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</si>
  <si>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</si>
  <si>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</si>
  <si>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</si>
  <si>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</si>
  <si>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</si>
  <si>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</si>
  <si>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</si>
  <si>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</si>
  <si>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</si>
  <si>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</si>
  <si>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</si>
  <si>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</si>
  <si>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</si>
  <si>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</si>
  <si>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</si>
  <si>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</si>
  <si>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</si>
  <si>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</si>
  <si>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</si>
  <si>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</si>
  <si>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</si>
  <si>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</si>
  <si>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</si>
  <si>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</si>
  <si>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</si>
  <si>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</si>
  <si>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</si>
  <si>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</si>
  <si>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</si>
  <si>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</si>
  <si>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</si>
  <si>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</si>
  <si>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</si>
  <si>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</si>
  <si>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</si>
  <si>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</si>
  <si>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</si>
  <si>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</si>
  <si>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</si>
  <si>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</si>
  <si>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</si>
  <si>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</si>
  <si>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</si>
  <si>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</si>
  <si>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</si>
  <si>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</si>
  <si>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</si>
  <si>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</si>
  <si>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</si>
  <si>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</si>
  <si>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</si>
  <si>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</si>
  <si>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</si>
  <si>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</si>
  <si>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</si>
  <si>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</si>
  <si>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</si>
  <si>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</si>
  <si>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</si>
  <si>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</si>
  <si>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</si>
  <si>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</si>
  <si>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</si>
  <si>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</si>
  <si>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</si>
  <si>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</si>
  <si>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</si>
  <si>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</si>
  <si>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</si>
  <si>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</si>
  <si>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</si>
  <si>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</si>
  <si>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</si>
  <si>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</si>
  <si>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</si>
  <si>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</si>
  <si>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</si>
  <si>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</si>
  <si>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</si>
  <si>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</si>
  <si>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</si>
  <si>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</si>
  <si>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</si>
  <si>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</si>
  <si>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</si>
  <si>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</si>
  <si>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</si>
  <si>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</si>
  <si>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</si>
  <si>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</si>
  <si>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</si>
  <si>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</si>
  <si>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</si>
  <si>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</si>
  <si>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</si>
  <si>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</si>
  <si>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</si>
  <si>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</si>
  <si>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</si>
  <si>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</si>
  <si>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</si>
  <si>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</si>
  <si>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</si>
  <si>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</si>
  <si>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</si>
  <si>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</si>
  <si>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</si>
  <si>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</si>
  <si>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</si>
  <si>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</si>
  <si>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</si>
  <si>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</si>
  <si>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</si>
  <si>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</si>
  <si>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</si>
  <si>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</si>
  <si>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</si>
  <si>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</si>
  <si>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</si>
  <si>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</si>
  <si>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</si>
  <si>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</si>
  <si>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</si>
  <si>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</si>
  <si>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</si>
  <si>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</si>
  <si>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</si>
  <si>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</si>
  <si>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</si>
  <si>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</si>
  <si>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</si>
  <si>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</si>
  <si>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</si>
  <si>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</si>
  <si>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</si>
  <si>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</si>
  <si>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</si>
  <si>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</si>
  <si>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</si>
  <si>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</si>
  <si>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</si>
  <si>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</si>
  <si>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</si>
  <si>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</si>
  <si>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</si>
  <si>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</si>
  <si>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</si>
  <si>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</si>
  <si>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</si>
  <si>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</si>
  <si>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</si>
  <si>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</si>
  <si>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</si>
  <si>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</si>
  <si>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</si>
  <si>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</si>
  <si>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</si>
  <si>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</si>
  <si>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</si>
  <si>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</si>
  <si>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</si>
  <si>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</si>
  <si>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</si>
  <si>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</si>
  <si>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</si>
  <si>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</si>
  <si>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</si>
  <si>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</si>
  <si>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</si>
  <si>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</si>
  <si>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</si>
  <si>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</si>
  <si>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</si>
  <si>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</si>
  <si>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</si>
  <si>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</si>
  <si>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</si>
  <si>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</si>
  <si>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</si>
  <si>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</si>
  <si>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</si>
  <si>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</si>
  <si>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</si>
  <si>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</si>
  <si>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</si>
  <si>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</si>
  <si>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</si>
  <si>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</si>
  <si>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</si>
  <si>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</si>
  <si>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</si>
  <si>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</si>
  <si>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</si>
  <si>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</si>
  <si>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</si>
  <si>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</si>
  <si>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</si>
  <si>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</si>
  <si>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</si>
  <si>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</si>
  <si>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</si>
  <si>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</si>
  <si>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</si>
  <si>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</si>
  <si>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</si>
  <si>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</si>
  <si>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</si>
  <si>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</si>
  <si>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</si>
  <si>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</si>
  <si>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</si>
  <si>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</si>
  <si>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</si>
  <si>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</si>
  <si>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</si>
  <si>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</si>
  <si>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</si>
  <si>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</si>
  <si>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</si>
  <si>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</si>
  <si>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</si>
  <si>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</si>
  <si>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</si>
  <si>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</si>
  <si>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</si>
  <si>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</si>
  <si>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</si>
  <si>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</si>
  <si>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</si>
  <si>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</si>
  <si>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</si>
  <si>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</si>
  <si>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</si>
  <si>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</si>
  <si>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</si>
  <si>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</si>
  <si>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</si>
  <si>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</si>
  <si>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</si>
  <si>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</si>
  <si>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</si>
  <si>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</si>
  <si>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</si>
  <si>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</si>
  <si>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</si>
  <si>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</si>
  <si>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</si>
  <si>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</si>
  <si>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</si>
  <si>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</si>
  <si>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</si>
  <si>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</si>
  <si>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</si>
  <si>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</si>
  <si>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</si>
  <si>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</si>
  <si>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</si>
  <si>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</si>
  <si>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</si>
  <si>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</si>
  <si>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</si>
  <si>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</si>
  <si>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</si>
  <si>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</si>
  <si>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</si>
  <si>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</si>
  <si>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</si>
  <si>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</si>
  <si>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</si>
  <si>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</si>
  <si>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</si>
  <si>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</si>
  <si>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</si>
  <si>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</si>
  <si>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</si>
  <si>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</si>
  <si>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</si>
  <si>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</si>
  <si>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</si>
  <si>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</si>
  <si>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</si>
  <si>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</si>
  <si>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</si>
  <si>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</si>
  <si>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</si>
  <si>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</si>
  <si>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</si>
  <si>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</si>
  <si>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</si>
  <si>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</si>
  <si>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</si>
  <si>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</si>
  <si>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</si>
  <si>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</si>
  <si>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</si>
  <si>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</si>
  <si>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</si>
  <si>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</si>
  <si>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</si>
  <si>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</si>
  <si>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</si>
  <si>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</si>
  <si>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</si>
  <si>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</si>
  <si>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</si>
  <si>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</si>
  <si>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</si>
  <si>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</si>
  <si>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</si>
  <si>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</si>
  <si>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</si>
  <si>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</si>
  <si>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</si>
  <si>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</si>
  <si>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</si>
  <si>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</si>
  <si>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</si>
  <si>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</si>
  <si>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</si>
  <si>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</si>
  <si>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</si>
  <si>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</si>
  <si>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</si>
  <si>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</si>
  <si>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</si>
  <si>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</si>
  <si>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</si>
  <si>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</si>
  <si>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</si>
  <si>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</si>
  <si>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</si>
  <si>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</si>
  <si>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</si>
  <si>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</si>
  <si>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</si>
  <si>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</si>
  <si>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</si>
  <si>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</si>
  <si>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</si>
  <si>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</si>
  <si>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</si>
  <si>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</si>
  <si>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</si>
  <si>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</si>
  <si>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</si>
  <si>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</si>
  <si>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</si>
  <si>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</si>
  <si>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</si>
  <si>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</si>
  <si>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</si>
  <si>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</si>
  <si>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</si>
  <si>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</si>
  <si>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</si>
  <si>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</si>
  <si>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</si>
  <si>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</si>
  <si>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</si>
  <si>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</si>
  <si>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</si>
  <si>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</si>
  <si>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</si>
  <si>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</si>
  <si>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</si>
  <si>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</si>
  <si>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</si>
  <si>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</si>
  <si>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</si>
  <si>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</si>
  <si>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</si>
  <si>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</si>
  <si>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</si>
  <si>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</si>
  <si>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</si>
  <si>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</si>
  <si>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</si>
  <si>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</si>
  <si>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</si>
  <si>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</si>
  <si>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</si>
  <si>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</si>
  <si>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</si>
  <si>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</si>
  <si>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</si>
  <si>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</si>
  <si>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</si>
  <si>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</si>
  <si>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</si>
  <si>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</si>
  <si>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</si>
  <si>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</si>
  <si>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</si>
  <si>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</si>
  <si>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</si>
  <si>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</si>
  <si>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</si>
  <si>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</si>
  <si>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</si>
  <si>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</si>
  <si>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</si>
  <si>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</si>
  <si>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</si>
  <si>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</si>
  <si>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</si>
  <si>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</si>
  <si>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</si>
  <si>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</si>
  <si>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</si>
  <si>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</si>
  <si>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</si>
  <si>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</si>
  <si>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</si>
  <si>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</si>
  <si>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</si>
  <si>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</si>
  <si>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</si>
  <si>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</si>
  <si>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</si>
  <si>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</si>
  <si>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</si>
  <si>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</si>
  <si>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</si>
  <si>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</si>
  <si>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</si>
  <si>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</si>
  <si>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</si>
  <si>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</si>
  <si>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</si>
  <si>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</si>
  <si>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</si>
  <si>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</si>
  <si>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</si>
  <si>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</si>
  <si>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</si>
  <si>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</si>
  <si>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</si>
  <si>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</si>
  <si>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</si>
  <si>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</si>
  <si>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</si>
  <si>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</si>
  <si>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</si>
  <si>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</si>
  <si>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</si>
  <si>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</si>
  <si>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</si>
  <si>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</si>
  <si>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</si>
  <si>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</si>
  <si>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</si>
  <si>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</si>
  <si>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</si>
  <si>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</si>
  <si>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</si>
  <si>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</si>
  <si>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</si>
  <si>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</si>
  <si>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</si>
  <si>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</si>
  <si>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</si>
  <si>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</si>
  <si>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</si>
  <si>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</si>
  <si>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</si>
  <si>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</si>
  <si>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</si>
  <si>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</si>
  <si>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</si>
  <si>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</si>
  <si>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</si>
  <si>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</si>
  <si>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</si>
  <si>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</si>
  <si>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</si>
  <si>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</si>
  <si>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</si>
  <si>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</si>
  <si>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</si>
  <si>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</si>
  <si>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</si>
  <si>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</si>
  <si>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</si>
  <si>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</si>
  <si>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</si>
  <si>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</si>
  <si>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</si>
  <si>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</si>
  <si>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</si>
  <si>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</si>
  <si>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</si>
  <si>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</si>
  <si>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</si>
  <si>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</si>
  <si>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</si>
  <si>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</si>
  <si>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</si>
  <si>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</si>
  <si>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</si>
  <si>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</si>
  <si>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</si>
  <si>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</si>
  <si>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</si>
  <si>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</si>
  <si>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</si>
  <si>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</si>
  <si>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</si>
  <si>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</si>
  <si>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</si>
  <si>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</si>
  <si>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</si>
  <si>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</si>
  <si>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</si>
  <si>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</si>
  <si>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</si>
  <si>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</si>
  <si>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</si>
  <si>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</si>
  <si>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</si>
  <si>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</si>
  <si>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</si>
  <si>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</si>
  <si>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</si>
  <si>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</si>
  <si>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</si>
  <si>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</si>
  <si>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</si>
  <si>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</si>
  <si>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</si>
  <si>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</si>
  <si>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</si>
  <si>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</si>
  <si>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</si>
  <si>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</si>
  <si>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</si>
  <si>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</si>
  <si>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</si>
  <si>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</si>
  <si>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</si>
  <si>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</si>
  <si>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</si>
  <si>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</si>
  <si>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</si>
  <si>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</si>
  <si>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</si>
  <si>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</si>
  <si>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</si>
  <si>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</si>
  <si>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</si>
  <si>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</si>
  <si>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</si>
  <si>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</si>
  <si>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</si>
  <si>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</si>
  <si>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</si>
  <si>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</si>
  <si>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</si>
  <si>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</si>
  <si>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</si>
  <si>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</si>
  <si>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</si>
  <si>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</si>
  <si>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</si>
  <si>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</si>
  <si>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</si>
  <si>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</si>
  <si>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</si>
  <si>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</si>
  <si>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</si>
  <si>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</si>
  <si>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</si>
  <si>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</si>
  <si>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</si>
  <si>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</si>
  <si>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</si>
  <si>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</si>
  <si>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</si>
  <si>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</si>
  <si>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</si>
  <si>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</si>
  <si>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</si>
  <si>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</si>
  <si>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</si>
  <si>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</si>
  <si>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</si>
  <si>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</si>
  <si>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</si>
  <si>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</si>
  <si>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</si>
  <si>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</si>
  <si>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</si>
  <si>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</si>
  <si>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</si>
  <si>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</si>
  <si>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</si>
  <si>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</si>
  <si>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</si>
  <si>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</si>
  <si>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</si>
  <si>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</si>
  <si>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</si>
  <si>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</si>
  <si>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</si>
  <si>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</si>
  <si>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</si>
  <si>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</si>
  <si>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</si>
  <si>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</si>
  <si>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</si>
  <si>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</si>
  <si>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</si>
  <si>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</si>
  <si>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</si>
  <si>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</si>
  <si>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</si>
  <si>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</si>
  <si>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</si>
  <si>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</si>
  <si>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</si>
  <si>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</si>
  <si>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</si>
  <si>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</si>
  <si>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</si>
  <si>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</si>
  <si>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</si>
  <si>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</si>
  <si>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</si>
  <si>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</si>
  <si>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</si>
  <si>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</si>
  <si>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</si>
  <si>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</si>
  <si>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</si>
  <si>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</si>
  <si>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</si>
  <si>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</si>
  <si>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</si>
  <si>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</si>
  <si>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</si>
  <si>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</si>
  <si>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</si>
  <si>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</si>
  <si>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</si>
  <si>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</si>
  <si>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</si>
  <si>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</si>
  <si>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</si>
  <si>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</si>
  <si>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</si>
  <si>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</si>
  <si>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</si>
  <si>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</si>
  <si>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</si>
  <si>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</si>
  <si>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</si>
  <si>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</si>
  <si>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</si>
  <si>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</si>
  <si>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</si>
  <si>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</si>
  <si>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</si>
  <si>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</si>
  <si>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</si>
  <si>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</si>
  <si>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</si>
  <si>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</si>
  <si>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</si>
  <si>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</si>
  <si>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</si>
  <si>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</si>
  <si>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</si>
  <si>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</si>
  <si>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</si>
  <si>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</si>
  <si>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</si>
  <si>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</si>
  <si>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</si>
  <si>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</si>
  <si>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</si>
  <si>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</si>
  <si>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</si>
  <si>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</si>
  <si>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</si>
  <si>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</si>
  <si>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</si>
  <si>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</si>
  <si>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</si>
  <si>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</si>
  <si>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</si>
  <si>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</si>
  <si>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</si>
  <si>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</si>
  <si>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</si>
  <si>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</si>
  <si>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</si>
  <si>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</si>
  <si>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</si>
  <si>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</si>
  <si>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</si>
  <si>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</si>
  <si>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</si>
  <si>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</si>
  <si>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</si>
  <si>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</si>
  <si>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</si>
  <si>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</si>
  <si>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</si>
  <si>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</si>
  <si>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</si>
  <si>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</si>
  <si>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</si>
  <si>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</si>
  <si>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</si>
  <si>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</si>
  <si>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</si>
  <si>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</si>
  <si>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</si>
  <si>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</si>
  <si>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</si>
  <si>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</si>
  <si>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</si>
  <si>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</si>
  <si>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</si>
  <si>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</si>
  <si>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</si>
  <si>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</si>
  <si>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</si>
  <si>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</si>
  <si>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</si>
  <si>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</si>
  <si>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</si>
  <si>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</si>
  <si>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</si>
  <si>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</si>
  <si>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</si>
  <si>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</si>
  <si>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</si>
  <si>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</si>
  <si>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</si>
  <si>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</si>
  <si>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</si>
  <si>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</si>
  <si>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</si>
  <si>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</si>
  <si>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</si>
  <si>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</si>
  <si>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</si>
  <si>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</si>
  <si>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</si>
  <si>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</si>
  <si>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</si>
  <si>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</si>
  <si>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</si>
  <si>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</si>
  <si>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</si>
  <si>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</si>
  <si>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</si>
  <si>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</si>
  <si>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</si>
  <si>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</si>
  <si>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</si>
  <si>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</si>
  <si>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</si>
  <si>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</si>
  <si>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</si>
  <si>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</si>
  <si>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</si>
  <si>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</si>
  <si>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</si>
  <si>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</si>
  <si>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</si>
  <si>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</si>
  <si>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</si>
  <si>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</si>
  <si>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</si>
  <si>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</si>
  <si>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</si>
  <si>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</si>
  <si>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</si>
  <si>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</si>
  <si>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</si>
  <si>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</si>
  <si>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</si>
  <si>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</si>
  <si>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</si>
  <si>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</si>
  <si>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</si>
  <si>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</si>
  <si>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</si>
  <si>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</si>
  <si>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</si>
  <si>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</si>
  <si>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</si>
  <si>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</si>
  <si>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</si>
  <si>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</si>
  <si>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</si>
  <si>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</si>
  <si>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</si>
  <si>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</si>
  <si>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</si>
  <si>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</si>
  <si>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</si>
  <si>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</si>
  <si>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</si>
  <si>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</si>
  <si>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</si>
  <si>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</si>
  <si>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</si>
  <si>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</si>
  <si>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</si>
  <si>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</si>
  <si>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</si>
  <si>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</si>
  <si>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</si>
  <si>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</si>
  <si>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</si>
  <si>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</si>
  <si>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</si>
  <si>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</si>
  <si>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</si>
  <si>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</si>
  <si>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</si>
  <si>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</si>
  <si>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</si>
  <si>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</si>
  <si>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</si>
  <si>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</si>
  <si>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</si>
  <si>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</si>
  <si>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</si>
  <si>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</si>
  <si>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</si>
  <si>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</si>
  <si>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</si>
  <si>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</si>
  <si>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</si>
  <si>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</si>
  <si>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</si>
  <si>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</si>
  <si>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</si>
  <si>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</si>
  <si>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</si>
  <si>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</si>
  <si>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</si>
  <si>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</si>
  <si>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</si>
  <si>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</si>
  <si>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</si>
  <si>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</si>
  <si>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</si>
  <si>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</si>
  <si>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</si>
  <si>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</si>
  <si>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</si>
  <si>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</si>
  <si>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</si>
  <si>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</si>
  <si>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</si>
  <si>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</si>
  <si>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</si>
  <si>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</si>
  <si>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</si>
  <si>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</si>
  <si>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</si>
  <si>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</si>
  <si>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</si>
  <si>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</si>
  <si>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</si>
  <si>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</si>
  <si>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</si>
  <si>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</si>
  <si>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</si>
  <si>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</si>
  <si>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</si>
  <si>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</si>
  <si>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</si>
  <si>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</si>
  <si>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</si>
  <si>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</si>
  <si>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</si>
  <si>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</si>
  <si>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</si>
  <si>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</si>
  <si>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</si>
  <si>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</si>
  <si>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</si>
  <si>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</si>
  <si>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</si>
  <si>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</si>
  <si>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</si>
  <si>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</si>
  <si>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</si>
  <si>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</si>
  <si>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</si>
  <si>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</si>
  <si>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</si>
  <si>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</si>
  <si>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</si>
  <si>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</si>
  <si>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</si>
  <si>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</si>
  <si>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</si>
  <si>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</si>
  <si>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</si>
  <si>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</si>
  <si>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</si>
  <si>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</si>
  <si>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</si>
  <si>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</si>
  <si>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</si>
  <si>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</si>
  <si>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</si>
  <si>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</si>
  <si>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</si>
  <si>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</si>
  <si>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</si>
  <si>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</si>
  <si>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</si>
  <si>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</si>
  <si>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</si>
  <si>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</si>
  <si>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</si>
  <si>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</si>
  <si>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</si>
  <si>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</si>
  <si>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</si>
  <si>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</si>
  <si>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</si>
  <si>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</si>
  <si>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</si>
  <si>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</si>
  <si>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</si>
  <si>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</si>
  <si>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</si>
  <si>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</si>
  <si>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</si>
  <si>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</si>
  <si>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</si>
  <si>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</si>
  <si>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</si>
  <si>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</si>
  <si>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</si>
  <si>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</si>
  <si>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</si>
  <si>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</si>
  <si>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</si>
  <si>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</si>
  <si>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</si>
  <si>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</si>
  <si>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</si>
  <si>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</si>
  <si>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</si>
  <si>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</si>
  <si>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</si>
  <si>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</si>
  <si>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</si>
  <si>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</si>
  <si>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</si>
  <si>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</si>
  <si>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</si>
  <si>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</si>
  <si>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</si>
  <si>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</si>
  <si>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</si>
  <si>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</si>
  <si>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</si>
  <si>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</si>
  <si>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</si>
  <si>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</si>
  <si>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</si>
  <si>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</si>
  <si>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</si>
  <si>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</si>
  <si>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</si>
  <si>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</si>
  <si>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</si>
  <si>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</si>
  <si>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</si>
  <si>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</si>
  <si>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</si>
  <si>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</si>
  <si>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</si>
  <si>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</si>
  <si>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</si>
  <si>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</si>
  <si>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</si>
  <si>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</si>
  <si>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</si>
  <si>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</si>
  <si>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</si>
  <si>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</si>
  <si>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</si>
  <si>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</si>
  <si>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</si>
  <si>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</si>
  <si>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</si>
  <si>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</si>
  <si>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</si>
  <si>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</si>
  <si>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</si>
  <si>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</si>
  <si>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</si>
  <si>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</si>
  <si>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</si>
  <si>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</si>
  <si>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</si>
  <si>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</si>
  <si>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</si>
  <si>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</si>
  <si>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</si>
  <si>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</si>
  <si>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</si>
  <si>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</si>
  <si>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</si>
  <si>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</si>
  <si>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</si>
  <si>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</si>
  <si>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</si>
  <si>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</si>
  <si>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</si>
  <si>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</si>
  <si>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</si>
  <si>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</si>
  <si>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</si>
  <si>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</si>
  <si>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</si>
  <si>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</si>
  <si>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</si>
  <si>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</si>
  <si>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</si>
  <si>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</si>
  <si>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</si>
  <si>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</si>
  <si>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</si>
  <si>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</si>
  <si>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</si>
  <si>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</si>
  <si>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</si>
  <si>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</si>
  <si>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</si>
  <si>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</si>
  <si>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</si>
  <si>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</si>
  <si>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</si>
  <si>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</si>
  <si>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</si>
  <si>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</si>
  <si>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</si>
  <si>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</si>
  <si>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</si>
  <si>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</si>
  <si>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</si>
  <si>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</si>
  <si>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</si>
  <si>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</si>
  <si>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</si>
  <si>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</si>
  <si>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</si>
  <si>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</si>
  <si>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</si>
  <si>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</si>
  <si>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</si>
  <si>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</si>
  <si>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</si>
  <si>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</si>
  <si>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</si>
  <si>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</si>
  <si>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</si>
  <si>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</si>
  <si>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</si>
  <si>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</si>
  <si>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</si>
  <si>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</si>
  <si>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</si>
  <si>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</si>
  <si>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</si>
  <si>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</si>
  <si>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</si>
  <si>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</si>
  <si>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</si>
  <si>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</si>
  <si>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</si>
  <si>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</si>
  <si>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</si>
  <si>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</si>
  <si>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</si>
  <si>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</si>
  <si>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</si>
  <si>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</si>
  <si>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</si>
  <si>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</si>
  <si>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</si>
  <si>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</si>
  <si>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</si>
  <si>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</si>
  <si>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</si>
  <si>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</si>
  <si>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</si>
  <si>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</si>
  <si>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</si>
  <si>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</si>
  <si>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</si>
  <si>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</si>
  <si>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</si>
  <si>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</si>
  <si>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</si>
  <si>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</si>
  <si>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</si>
  <si>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</si>
  <si>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</si>
  <si>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</si>
  <si>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</si>
  <si>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</si>
  <si>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</si>
  <si>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</si>
  <si>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</si>
  <si>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</si>
  <si>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</si>
  <si>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</si>
  <si>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</si>
  <si>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</si>
  <si>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</si>
  <si>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</si>
  <si>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</si>
  <si>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</si>
  <si>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</si>
  <si>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</si>
  <si>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</si>
  <si>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</si>
  <si>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</si>
  <si>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</si>
  <si>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</si>
  <si>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</si>
  <si>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</si>
  <si>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</si>
  <si>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</si>
  <si>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</si>
  <si>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</si>
  <si>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</si>
  <si>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</si>
  <si>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</si>
  <si>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</si>
  <si>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</si>
  <si>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</si>
  <si>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</si>
  <si>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</si>
  <si>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</si>
  <si>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</si>
  <si>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</si>
  <si>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</si>
  <si>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</si>
  <si>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</si>
  <si>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</si>
  <si>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</si>
  <si>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</si>
  <si>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</si>
  <si>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</si>
  <si>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</si>
  <si>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</si>
  <si>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</si>
  <si>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</si>
  <si>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</si>
  <si>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</si>
  <si>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</si>
  <si>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</si>
  <si>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</si>
  <si>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</si>
  <si>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</si>
  <si>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</si>
  <si>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</si>
  <si>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</si>
  <si>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</si>
  <si>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</si>
  <si>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</si>
  <si>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</si>
  <si>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</si>
  <si>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</si>
  <si>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</si>
  <si>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</si>
  <si>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</si>
  <si>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</si>
  <si>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</si>
  <si>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</si>
  <si>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</si>
  <si>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</si>
  <si>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</si>
  <si>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</si>
  <si>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</si>
  <si>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</si>
  <si>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</si>
  <si>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</si>
  <si>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</si>
  <si>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</si>
  <si>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</si>
  <si>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</si>
  <si>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</si>
  <si>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</si>
  <si>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</si>
  <si>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</si>
  <si>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</si>
  <si>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</si>
  <si>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</si>
  <si>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</si>
  <si>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</si>
  <si>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</si>
  <si>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</si>
  <si>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</si>
  <si>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</si>
  <si>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</si>
  <si>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</si>
  <si>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</si>
  <si>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</si>
  <si>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</si>
  <si>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</si>
  <si>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</si>
  <si>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</si>
  <si>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</si>
  <si>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</si>
  <si>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</si>
  <si>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</si>
  <si>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</si>
  <si>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</si>
  <si>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</si>
  <si>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</si>
  <si>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</si>
  <si>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</si>
  <si>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</si>
  <si>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</si>
  <si>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</si>
  <si>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</si>
  <si>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</si>
  <si>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</si>
  <si>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</si>
  <si>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</si>
  <si>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</si>
  <si>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</si>
  <si>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</si>
  <si>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</si>
  <si>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</si>
  <si>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</si>
  <si>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</si>
  <si>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</si>
  <si>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</si>
  <si>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</si>
  <si>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</si>
  <si>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</si>
  <si>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</si>
  <si>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</si>
  <si>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</si>
  <si>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</si>
  <si>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</si>
  <si>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</si>
  <si>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</si>
  <si>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</si>
  <si>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</si>
  <si>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</si>
  <si>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</si>
  <si>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</si>
  <si>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</si>
  <si>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</si>
  <si>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</si>
  <si>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</si>
  <si>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</si>
  <si>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</si>
  <si>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</si>
  <si>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</si>
  <si>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</si>
  <si>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</si>
  <si>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</si>
  <si>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</si>
  <si>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</si>
  <si>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</si>
  <si>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</si>
  <si>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</si>
  <si>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</si>
  <si>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</si>
  <si>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</si>
  <si>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</si>
  <si>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</si>
  <si>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</si>
  <si>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</si>
  <si>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</si>
  <si>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</si>
  <si>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</si>
  <si>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</si>
  <si>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</si>
  <si>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</si>
  <si>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</si>
  <si>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</si>
  <si>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</si>
  <si>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</si>
  <si>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</si>
  <si>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</si>
  <si>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</si>
  <si>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</si>
  <si>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</si>
  <si>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</si>
  <si>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</si>
  <si>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</si>
  <si>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</si>
  <si>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</si>
  <si>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</si>
  <si>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</si>
  <si>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</si>
  <si>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</si>
  <si>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</si>
  <si>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</si>
  <si>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</si>
  <si>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</si>
  <si>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</si>
  <si>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</si>
  <si>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</si>
  <si>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</si>
  <si>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</si>
  <si>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</si>
  <si>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</si>
  <si>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</si>
  <si>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</si>
  <si>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</si>
  <si>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</si>
  <si>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</si>
  <si>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</si>
  <si>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</si>
  <si>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</si>
  <si>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</si>
  <si>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</si>
  <si>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</si>
  <si>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</si>
  <si>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</si>
  <si>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</si>
  <si>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</si>
  <si>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</si>
  <si>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</si>
  <si>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</si>
  <si>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</si>
  <si>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</si>
  <si>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</si>
  <si>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</si>
  <si>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</si>
  <si>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</si>
  <si>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</si>
  <si>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</si>
  <si>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</si>
  <si>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</si>
  <si>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</si>
  <si>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</si>
  <si>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</si>
  <si>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</si>
  <si>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</si>
  <si>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</si>
  <si>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</si>
  <si>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</si>
  <si>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</si>
  <si>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</si>
  <si>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</si>
  <si>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</si>
  <si>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</si>
  <si>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</si>
  <si>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</si>
  <si>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</si>
  <si>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</si>
  <si>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</si>
  <si>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</si>
  <si>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</si>
  <si>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</si>
  <si>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</si>
  <si>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</si>
  <si>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</si>
  <si>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</si>
  <si>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</si>
  <si>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</si>
  <si>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</si>
  <si>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</si>
  <si>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</si>
  <si>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</si>
  <si>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</si>
  <si>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</si>
  <si>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</si>
  <si>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</si>
  <si>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</si>
  <si>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</si>
  <si>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</si>
  <si>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</si>
  <si>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</si>
  <si>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</si>
  <si>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</si>
  <si>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</si>
  <si>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</si>
  <si>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</si>
  <si>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</si>
  <si>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</si>
  <si>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</si>
  <si>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</si>
  <si>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</si>
  <si>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</si>
  <si>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</si>
  <si>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</si>
  <si>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</si>
  <si>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</si>
  <si>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</si>
  <si>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</si>
  <si>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</si>
  <si>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</si>
  <si>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</si>
  <si>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</si>
  <si>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</si>
  <si>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</si>
  <si>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</si>
  <si>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</si>
  <si>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</si>
  <si>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</si>
  <si>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</si>
  <si>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</si>
  <si>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</si>
  <si>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</si>
  <si>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</si>
  <si>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</si>
  <si>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</si>
  <si>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</si>
  <si>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</si>
  <si>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</si>
  <si>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</si>
  <si>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</si>
  <si>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</si>
  <si>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</si>
  <si>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</si>
  <si>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</si>
  <si>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</si>
  <si>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</si>
  <si>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</si>
  <si>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</si>
  <si>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</si>
  <si>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</si>
  <si>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</si>
  <si>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</si>
  <si>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</si>
  <si>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</si>
  <si>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</si>
  <si>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</si>
  <si>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</si>
  <si>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</si>
  <si>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</si>
  <si>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</si>
  <si>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</si>
  <si>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</si>
  <si>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</si>
  <si>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</si>
  <si>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</si>
  <si>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</si>
  <si>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</si>
  <si>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</si>
  <si>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</si>
  <si>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</si>
  <si>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</si>
  <si>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</si>
  <si>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</si>
  <si>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</si>
  <si>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</si>
  <si>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</si>
  <si>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</si>
  <si>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</si>
  <si>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</si>
  <si>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</si>
  <si>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</si>
  <si>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</si>
  <si>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</si>
  <si>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</si>
  <si>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</si>
  <si>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</si>
  <si>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</si>
  <si>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</si>
  <si>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</si>
  <si>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</si>
  <si>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</si>
  <si>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</si>
  <si>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</si>
  <si>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</si>
  <si>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</si>
  <si>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</si>
  <si>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</si>
  <si>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</si>
  <si>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</si>
  <si>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</si>
  <si>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</si>
  <si>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</si>
  <si>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</si>
  <si>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</si>
  <si>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</si>
  <si>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</si>
  <si>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</si>
  <si>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</si>
  <si>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</si>
  <si>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</si>
  <si>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</si>
  <si>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</si>
  <si>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</si>
  <si>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</si>
  <si>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</si>
  <si>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</si>
  <si>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</si>
  <si>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</si>
  <si>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</si>
  <si>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</si>
  <si>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</si>
  <si>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</si>
  <si>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</si>
  <si>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</si>
  <si>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</si>
  <si>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</si>
  <si>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</si>
  <si>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</si>
  <si>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</si>
  <si>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</si>
  <si>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</si>
  <si>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</si>
  <si>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</si>
  <si>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</si>
  <si>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</si>
  <si>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</si>
  <si>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</si>
  <si>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</si>
  <si>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</si>
  <si>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</si>
  <si>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</si>
  <si>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</si>
  <si>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</si>
  <si>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</si>
  <si>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</si>
  <si>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</si>
  <si>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</si>
  <si>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</si>
  <si>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</si>
  <si>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</si>
  <si>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</si>
  <si>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</si>
  <si>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</si>
  <si>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</si>
  <si>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</si>
  <si>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</si>
  <si>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</si>
  <si>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</si>
  <si>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</si>
  <si>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</si>
  <si>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</si>
  <si>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</si>
  <si>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</si>
  <si>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</si>
  <si>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</si>
  <si>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</si>
  <si>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</si>
  <si>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</si>
  <si>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</si>
  <si>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</si>
  <si>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</si>
  <si>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</si>
  <si>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</si>
  <si>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</si>
  <si>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</si>
  <si>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</si>
  <si>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</si>
  <si>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</si>
  <si>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</si>
  <si>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</si>
  <si>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</si>
  <si>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</si>
  <si>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</si>
  <si>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</si>
  <si>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</si>
  <si>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</si>
  <si>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</si>
  <si>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</si>
  <si>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</si>
  <si>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</si>
  <si>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</si>
  <si>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</si>
  <si>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</si>
  <si>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</si>
  <si>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</si>
  <si>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</si>
  <si>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</si>
  <si>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</si>
  <si>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</si>
  <si>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</si>
  <si>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</si>
  <si>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</si>
  <si>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</si>
  <si>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</si>
  <si>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</si>
  <si>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</si>
  <si>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</si>
  <si>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</si>
  <si>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</si>
  <si>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</si>
  <si>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</si>
  <si>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</si>
  <si>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</si>
  <si>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</si>
  <si>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</si>
  <si>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</si>
  <si>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</si>
  <si>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</si>
  <si>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</si>
  <si>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</si>
  <si>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</si>
  <si>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</si>
  <si>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</si>
  <si>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</si>
  <si>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</si>
  <si>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</si>
  <si>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</si>
  <si>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</si>
  <si>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</si>
  <si>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</si>
  <si>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</si>
  <si>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</si>
  <si>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</si>
  <si>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</si>
  <si>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</si>
  <si>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</si>
  <si>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</si>
  <si>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</si>
  <si>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</si>
  <si>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</si>
  <si>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</si>
  <si>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</si>
  <si>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</si>
  <si>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</si>
  <si>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</si>
  <si>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</si>
  <si>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</si>
  <si>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</si>
  <si>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</si>
  <si>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</si>
  <si>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</si>
  <si>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</si>
  <si>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</si>
  <si>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</si>
  <si>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</si>
  <si>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</si>
  <si>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</si>
  <si>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</si>
  <si>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</si>
  <si>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</si>
  <si>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</si>
  <si>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</si>
  <si>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</si>
  <si>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</si>
  <si>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</si>
  <si>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</si>
  <si>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</si>
  <si>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</si>
  <si>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</si>
  <si>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</si>
  <si>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</si>
  <si>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</si>
  <si>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</si>
  <si>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</si>
  <si>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</si>
  <si>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</si>
  <si>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</si>
  <si>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</si>
  <si>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</si>
  <si>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</si>
  <si>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</si>
  <si>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</si>
  <si>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</si>
  <si>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</si>
  <si>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</si>
  <si>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</si>
  <si>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</si>
  <si>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</si>
  <si>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</si>
  <si>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</si>
  <si>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</si>
  <si>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</si>
  <si>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</si>
  <si>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</si>
  <si>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</si>
  <si>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</si>
  <si>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</si>
  <si>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</si>
  <si>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</si>
  <si>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</si>
  <si>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</si>
  <si>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</si>
  <si>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</si>
  <si>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</si>
  <si>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</si>
  <si>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</si>
  <si>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</si>
  <si>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</si>
  <si>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</si>
  <si>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</si>
  <si>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</si>
  <si>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</si>
  <si>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</si>
  <si>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</si>
  <si>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</si>
  <si>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</si>
  <si>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</si>
  <si>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</si>
  <si>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</si>
  <si>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</si>
  <si>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</si>
  <si>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</si>
  <si>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</si>
  <si>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</si>
  <si>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</si>
  <si>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</si>
  <si>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</si>
  <si>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</si>
  <si>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</si>
  <si>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</si>
  <si>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</si>
  <si>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</si>
  <si>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</si>
  <si>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</si>
  <si>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</si>
  <si>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</si>
  <si>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</si>
  <si>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</si>
  <si>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</si>
  <si>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</si>
  <si>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</si>
  <si>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</si>
  <si>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</si>
  <si>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</si>
  <si>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</si>
  <si>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</si>
  <si>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</si>
  <si>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</si>
  <si>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</si>
  <si>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</si>
  <si>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</si>
  <si>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</si>
  <si>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</si>
  <si>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</si>
  <si>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</si>
  <si>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</si>
  <si>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</si>
  <si>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</si>
  <si>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</si>
  <si>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</si>
  <si>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</si>
  <si>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</si>
  <si>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</si>
  <si>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</si>
  <si>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</si>
  <si>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</si>
  <si>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</si>
  <si>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</si>
  <si>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</si>
  <si>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</si>
  <si>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</si>
  <si>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</si>
  <si>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</si>
  <si>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</si>
  <si>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</si>
  <si>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</si>
  <si>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</si>
  <si>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</si>
  <si>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</si>
  <si>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</si>
  <si>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</si>
  <si>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</si>
  <si>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</si>
  <si>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</si>
  <si>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</si>
  <si>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</si>
  <si>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</si>
  <si>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</si>
  <si>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</si>
  <si>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</si>
  <si>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</si>
  <si>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</si>
  <si>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</si>
  <si>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</si>
  <si>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</si>
  <si>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</si>
  <si>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</si>
  <si>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</si>
  <si>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</si>
  <si>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</si>
  <si>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</si>
  <si>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</si>
  <si>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</si>
  <si>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</si>
  <si>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</si>
  <si>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</si>
  <si>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</si>
  <si>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</si>
  <si>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</si>
  <si>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</si>
  <si>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</si>
  <si>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</si>
  <si>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</si>
  <si>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</si>
  <si>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</si>
  <si>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</si>
  <si>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</si>
  <si>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</si>
  <si>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</si>
  <si>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</si>
  <si>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</si>
  <si>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</si>
  <si>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</si>
  <si>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</si>
  <si>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</si>
  <si>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</si>
  <si>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</si>
  <si>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</si>
  <si>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</si>
  <si>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</si>
  <si>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</si>
  <si>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</si>
  <si>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</si>
  <si>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</si>
  <si>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</si>
  <si>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</si>
  <si>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</si>
  <si>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</si>
  <si>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</si>
  <si>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</si>
  <si>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</si>
  <si>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</si>
  <si>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</si>
  <si>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</si>
  <si>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</si>
  <si>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</si>
  <si>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</si>
  <si>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</si>
  <si>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</si>
  <si>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</si>
  <si>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</si>
  <si>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</si>
  <si>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</si>
  <si>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</si>
  <si>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</si>
  <si>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</si>
  <si>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</si>
  <si>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</si>
  <si>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</si>
  <si>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</si>
  <si>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</si>
  <si>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</si>
  <si>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</si>
  <si>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</si>
  <si>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</si>
  <si>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</si>
  <si>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</si>
  <si>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</si>
  <si>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</si>
  <si>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</si>
  <si>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</si>
  <si>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</si>
  <si>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</si>
  <si>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</si>
  <si>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</si>
  <si>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</si>
  <si>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</si>
  <si>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</si>
  <si>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</si>
  <si>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</si>
  <si>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</si>
  <si>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</si>
  <si>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</si>
  <si>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</si>
  <si>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</si>
  <si>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</si>
  <si>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</si>
  <si>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</si>
  <si>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</si>
  <si>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</si>
  <si>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</si>
  <si>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</si>
  <si>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</si>
  <si>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</si>
  <si>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</si>
  <si>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</si>
  <si>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</si>
  <si>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</si>
  <si>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</si>
  <si>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</si>
  <si>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</si>
  <si>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</si>
  <si>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</si>
  <si>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</si>
  <si>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</si>
  <si>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</si>
  <si>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</si>
  <si>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</si>
  <si>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</si>
  <si>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</si>
  <si>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</si>
  <si>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</si>
  <si>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</si>
  <si>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</si>
  <si>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</si>
  <si>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</si>
  <si>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</si>
  <si>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</si>
  <si>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</si>
  <si>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</si>
  <si>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</si>
  <si>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</si>
  <si>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</si>
  <si>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</si>
  <si>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</si>
  <si>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</si>
  <si>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</si>
  <si>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</si>
  <si>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</si>
  <si>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</si>
  <si>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</si>
  <si>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</si>
  <si>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</si>
  <si>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</si>
  <si>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</si>
  <si>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</si>
  <si>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</si>
  <si>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</si>
  <si>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</si>
  <si>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</si>
  <si>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</si>
  <si>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</si>
  <si>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</si>
  <si>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</si>
  <si>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</si>
  <si>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</si>
  <si>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</si>
  <si>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</si>
  <si>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</si>
  <si>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</si>
  <si>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</si>
  <si>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</si>
  <si>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</si>
  <si>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</si>
  <si>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</si>
  <si>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</si>
  <si>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</si>
  <si>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</si>
  <si>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</si>
  <si>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</si>
  <si>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</si>
  <si>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</si>
  <si>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</si>
  <si>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</si>
  <si>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</si>
  <si>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</si>
  <si>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</si>
  <si>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</si>
  <si>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</si>
  <si>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</si>
  <si>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</si>
  <si>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</si>
  <si>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</si>
  <si>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</si>
  <si>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</si>
  <si>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</si>
  <si>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</si>
  <si>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</si>
  <si>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</si>
  <si>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</si>
  <si>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</si>
  <si>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</si>
  <si>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</si>
  <si>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</si>
  <si>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</si>
  <si>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</si>
  <si>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</si>
  <si>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</si>
  <si>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</si>
  <si>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</si>
  <si>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</si>
  <si>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</si>
  <si>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</si>
  <si>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</si>
  <si>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</si>
  <si>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</si>
  <si>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</si>
  <si>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</si>
  <si>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</si>
  <si>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</si>
  <si>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</si>
  <si>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</si>
  <si>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</si>
  <si>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</si>
  <si>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</si>
  <si>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</si>
  <si>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</si>
  <si>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</si>
  <si>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</si>
  <si>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</si>
  <si>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</si>
  <si>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</si>
  <si>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</si>
  <si>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</si>
  <si>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</si>
  <si>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</si>
  <si>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</si>
  <si>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</si>
  <si>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</si>
  <si>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</si>
  <si>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</si>
  <si>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</si>
  <si>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</si>
  <si>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</si>
  <si>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</si>
  <si>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</si>
  <si>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</si>
  <si>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</si>
  <si>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</si>
  <si>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</si>
  <si>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</si>
  <si>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</si>
  <si>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</si>
  <si>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</si>
  <si>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</si>
  <si>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</si>
  <si>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</si>
  <si>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</si>
  <si>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</si>
  <si>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</si>
  <si>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</si>
  <si>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</si>
  <si>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</si>
  <si>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</si>
  <si>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</si>
  <si>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</si>
  <si>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</si>
  <si>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</si>
  <si>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</si>
  <si>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</si>
  <si>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</si>
  <si>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</si>
  <si>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</si>
  <si>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</si>
  <si>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</si>
  <si>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</si>
  <si>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</si>
  <si>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</si>
  <si>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</si>
  <si>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</si>
  <si>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</si>
  <si>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</si>
  <si>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</si>
  <si>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</si>
  <si>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</si>
  <si>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</si>
  <si>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</si>
  <si>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</si>
  <si>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</si>
  <si>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</si>
  <si>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</si>
  <si>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</si>
  <si>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</si>
  <si>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</si>
  <si>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</si>
  <si>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</si>
  <si>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</si>
  <si>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</si>
  <si>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</si>
  <si>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</si>
  <si>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</si>
  <si>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</si>
  <si>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</si>
  <si>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</si>
  <si>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</si>
  <si>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</si>
  <si>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</si>
  <si>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</si>
  <si>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</si>
  <si>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</si>
  <si>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</si>
  <si>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</si>
  <si>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</si>
  <si>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</si>
  <si>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</si>
  <si>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</si>
  <si>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</si>
  <si>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</si>
  <si>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</si>
  <si>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</si>
  <si>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</si>
  <si>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</si>
  <si>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</si>
  <si>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</si>
  <si>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</si>
  <si>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</si>
  <si>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</si>
  <si>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</si>
  <si>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</si>
  <si>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</si>
  <si>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</si>
  <si>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</si>
  <si>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</si>
  <si>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</si>
  <si>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</si>
  <si>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</si>
  <si>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</si>
  <si>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</si>
  <si>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</si>
  <si>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</si>
  <si>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</si>
  <si>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</si>
  <si>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</si>
  <si>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</si>
  <si>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</si>
  <si>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</si>
  <si>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</si>
  <si>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</si>
  <si>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</si>
  <si>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</si>
  <si>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</si>
  <si>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</si>
  <si>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</si>
  <si>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</si>
  <si>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</si>
  <si>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</si>
  <si>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</si>
  <si>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</si>
  <si>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</si>
  <si>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</si>
  <si>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</si>
  <si>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</si>
  <si>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</si>
  <si>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</si>
  <si>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</si>
  <si>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</si>
  <si>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</si>
  <si>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</si>
  <si>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</si>
  <si>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</si>
  <si>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</si>
  <si>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</si>
  <si>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</si>
  <si>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</si>
  <si>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</si>
  <si>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</si>
  <si>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</si>
  <si>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</si>
  <si>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</si>
  <si>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</si>
  <si>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</si>
  <si>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</si>
  <si>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</si>
  <si>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</si>
  <si>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</si>
  <si>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</si>
  <si>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</si>
  <si>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</si>
  <si>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</si>
  <si>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</si>
  <si>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</si>
  <si>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</si>
  <si>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</si>
  <si>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</si>
  <si>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</si>
  <si>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</si>
  <si>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</si>
  <si>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</si>
  <si>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</si>
  <si>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</si>
  <si>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</si>
  <si>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</si>
  <si>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</si>
  <si>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</si>
  <si>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</si>
  <si>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</si>
  <si>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</si>
  <si>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</si>
  <si>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</si>
  <si>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</si>
  <si>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</si>
  <si>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</si>
  <si>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</si>
  <si>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</si>
  <si>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</si>
  <si>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</si>
  <si>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</si>
  <si>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</si>
  <si>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</si>
  <si>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</si>
  <si>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</si>
  <si>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</si>
  <si>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</si>
  <si>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</si>
  <si>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</si>
  <si>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</si>
  <si>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</si>
  <si>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</si>
  <si>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</si>
  <si>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</si>
  <si>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</si>
  <si>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</si>
  <si>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</si>
  <si>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</si>
  <si>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</si>
  <si>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</si>
  <si>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</si>
  <si>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</si>
  <si>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</si>
  <si>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</si>
  <si>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</si>
  <si>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</si>
  <si>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</si>
  <si>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</si>
  <si>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</si>
  <si>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</si>
  <si>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</si>
  <si>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</si>
  <si>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</si>
  <si>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</si>
  <si>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</si>
  <si>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</si>
  <si>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</si>
  <si>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</si>
  <si>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</si>
  <si>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</si>
  <si>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</si>
  <si>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</si>
  <si>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</si>
  <si>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</si>
  <si>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</si>
  <si>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</si>
  <si>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</si>
  <si>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</si>
  <si>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</si>
  <si>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</si>
  <si>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</si>
  <si>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</si>
  <si>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</si>
  <si>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</si>
  <si>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</si>
  <si>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</si>
  <si>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</si>
  <si>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</si>
  <si>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</si>
  <si>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</si>
  <si>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</si>
  <si>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</si>
  <si>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</si>
  <si>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</si>
  <si>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</si>
  <si>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</si>
  <si>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</si>
  <si>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</si>
  <si>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</si>
  <si>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</si>
  <si>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</si>
  <si>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</si>
  <si>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</si>
  <si>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</si>
  <si>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</si>
  <si>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</si>
  <si>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</si>
  <si>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</si>
  <si>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</si>
  <si>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</si>
  <si>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</si>
  <si>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</si>
  <si>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</si>
  <si>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</si>
  <si>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</si>
  <si>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</si>
  <si>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</si>
  <si>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</si>
  <si>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</si>
  <si>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</si>
  <si>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</si>
  <si>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</si>
  <si>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</si>
  <si>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</si>
  <si>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</si>
  <si>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</si>
  <si>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</si>
  <si>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</si>
  <si>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</si>
  <si>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</si>
  <si>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</si>
  <si>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</si>
  <si>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</si>
  <si>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</si>
  <si>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</si>
  <si>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</si>
  <si>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</si>
  <si>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</si>
  <si>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</si>
  <si>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</si>
  <si>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</si>
  <si>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</si>
  <si>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</si>
  <si>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</si>
  <si>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</si>
  <si>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</si>
  <si>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</si>
  <si>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</si>
  <si>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</si>
  <si>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</si>
  <si>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</si>
  <si>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</si>
  <si>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</si>
  <si>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</si>
  <si>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</si>
  <si>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</si>
  <si>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</si>
  <si>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</si>
  <si>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</si>
  <si>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</si>
  <si>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</si>
  <si>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</si>
  <si>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</si>
  <si>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</si>
  <si>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</si>
  <si>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</si>
  <si>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</si>
  <si>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</si>
  <si>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</si>
  <si>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</si>
  <si>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</si>
  <si>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</si>
  <si>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</si>
  <si>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</si>
  <si>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</si>
  <si>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</si>
  <si>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</si>
  <si>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</si>
  <si>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</si>
  <si>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</si>
  <si>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</si>
  <si>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</si>
  <si>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</si>
  <si>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</si>
  <si>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</si>
  <si>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</si>
  <si>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</si>
  <si>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</si>
  <si>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</si>
  <si>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</si>
  <si>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</si>
  <si>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</si>
  <si>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</si>
  <si>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</si>
  <si>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</si>
  <si>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</si>
  <si>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</si>
  <si>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</si>
  <si>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</si>
  <si>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</si>
  <si>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</si>
  <si>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</si>
  <si>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</si>
  <si>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</si>
  <si>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</si>
  <si>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</si>
  <si>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</si>
  <si>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</si>
  <si>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</si>
  <si>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</si>
  <si>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</si>
  <si>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</si>
  <si>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</si>
  <si>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</si>
  <si>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</si>
  <si>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</si>
  <si>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</si>
  <si>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</si>
  <si>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</si>
  <si>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</si>
  <si>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</si>
  <si>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</si>
  <si>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</si>
  <si>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</si>
  <si>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</si>
  <si>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</si>
  <si>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</si>
  <si>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</si>
  <si>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</si>
  <si>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</si>
  <si>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</si>
  <si>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</si>
  <si>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</si>
  <si>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</si>
  <si>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</si>
  <si>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</si>
  <si>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</si>
  <si>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</si>
  <si>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</si>
  <si>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</si>
  <si>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</si>
  <si>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</si>
  <si>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</si>
  <si>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</si>
  <si>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</si>
  <si>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</si>
  <si>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</si>
  <si>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</si>
  <si>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</si>
  <si>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</si>
  <si>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</si>
  <si>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</si>
  <si>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</si>
  <si>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</si>
  <si>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</si>
  <si>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</si>
  <si>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</si>
  <si>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</si>
  <si>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</si>
  <si>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</si>
  <si>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</si>
  <si>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</si>
  <si>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</si>
  <si>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</si>
  <si>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</si>
  <si>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</si>
  <si>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</si>
  <si>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</si>
  <si>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</si>
  <si>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</si>
  <si>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</si>
  <si>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</si>
  <si>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</si>
  <si>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</si>
  <si>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</si>
  <si>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</si>
  <si>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</si>
  <si>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</si>
  <si>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</si>
  <si>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</si>
  <si>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</si>
  <si>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</si>
  <si>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</si>
  <si>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</si>
  <si>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</si>
  <si>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</si>
  <si>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</si>
  <si>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</si>
  <si>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</si>
  <si>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</si>
  <si>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</si>
  <si>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</si>
  <si>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</si>
  <si>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</si>
  <si>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</si>
  <si>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</si>
  <si>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</si>
  <si>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</si>
  <si>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</si>
  <si>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</si>
  <si>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</si>
  <si>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</si>
  <si>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</si>
  <si>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</si>
  <si>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</si>
  <si>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</si>
  <si>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</si>
  <si>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</si>
  <si>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</si>
  <si>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</si>
  <si>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</si>
  <si>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</si>
  <si>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</si>
  <si>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</si>
  <si>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</si>
  <si>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</si>
  <si>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</si>
  <si>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</si>
  <si>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</si>
  <si>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</si>
  <si>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</si>
  <si>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</si>
  <si>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</si>
  <si>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</si>
  <si>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</si>
  <si>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</si>
  <si>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</si>
  <si>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</si>
  <si>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</si>
  <si>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</si>
  <si>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</si>
  <si>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</si>
  <si>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</si>
  <si>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</si>
  <si>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</si>
  <si>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</si>
  <si>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</si>
  <si>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</si>
  <si>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</si>
  <si>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</si>
  <si>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</si>
  <si>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</si>
  <si>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</si>
  <si>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</si>
  <si>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</si>
  <si>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</si>
  <si>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</si>
  <si>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</si>
  <si>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</si>
  <si>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</si>
  <si>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</si>
  <si>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</si>
  <si>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</si>
  <si>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</si>
  <si>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</si>
  <si>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</si>
  <si>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</si>
  <si>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</si>
  <si>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</si>
  <si>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</si>
  <si>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</si>
  <si>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</si>
  <si>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</si>
  <si>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</si>
  <si>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</si>
  <si>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</si>
  <si>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</si>
  <si>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</si>
  <si>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</si>
  <si>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</si>
  <si>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</si>
  <si>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</si>
  <si>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</si>
  <si>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</si>
  <si>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</si>
  <si>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</si>
  <si>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</si>
  <si>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</si>
  <si>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</si>
  <si>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</si>
  <si>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</si>
  <si>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</si>
  <si>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</si>
  <si>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</si>
  <si>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</si>
  <si>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</si>
  <si>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</si>
  <si>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</si>
  <si>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</si>
  <si>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</si>
  <si>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</si>
  <si>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</si>
  <si>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</si>
  <si>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</si>
  <si>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</si>
  <si>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</si>
  <si>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</si>
  <si>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</si>
  <si>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</si>
  <si>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</si>
  <si>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</si>
  <si>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</si>
  <si>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</si>
  <si>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</si>
  <si>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</si>
  <si>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</si>
  <si>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</si>
  <si>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</si>
  <si>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</si>
  <si>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</si>
  <si>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</si>
  <si>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</si>
  <si>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</si>
  <si>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</si>
  <si>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</si>
  <si>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</si>
  <si>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</si>
  <si>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</si>
  <si>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</si>
  <si>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</si>
  <si>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</si>
  <si>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</si>
  <si>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</si>
  <si>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</si>
  <si>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</si>
  <si>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</si>
  <si>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</si>
  <si>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</si>
  <si>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</si>
  <si>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</si>
  <si>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</si>
  <si>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</si>
  <si>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</si>
  <si>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</si>
  <si>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</si>
  <si>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</si>
  <si>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</si>
  <si>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</si>
  <si>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</si>
  <si>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</si>
  <si>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</si>
  <si>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</si>
  <si>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</si>
  <si>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</si>
  <si>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</si>
  <si>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</si>
  <si>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</si>
  <si>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</si>
  <si>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</si>
  <si>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</si>
  <si>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</si>
  <si>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</si>
  <si>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</si>
  <si>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</si>
  <si>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</si>
  <si>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</si>
  <si>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</si>
  <si>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</si>
  <si>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</si>
  <si>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</si>
  <si>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</si>
  <si>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</si>
  <si>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</si>
  <si>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</si>
  <si>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</si>
  <si>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</si>
  <si>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</si>
  <si>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</si>
  <si>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</si>
  <si>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</si>
  <si>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</si>
  <si>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</si>
  <si>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</si>
  <si>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</si>
  <si>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</si>
  <si>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</si>
  <si>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</si>
  <si>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</si>
  <si>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</si>
  <si>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</si>
  <si>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</si>
  <si>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</si>
  <si>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</si>
  <si>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</si>
  <si>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</si>
  <si>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</si>
  <si>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</si>
  <si>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</si>
  <si>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</si>
  <si>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</si>
  <si>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</si>
  <si>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</si>
  <si>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</si>
  <si>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</si>
  <si>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</si>
  <si>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</si>
  <si>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</si>
  <si>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</si>
  <si>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</si>
  <si>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</si>
  <si>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</si>
  <si>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</si>
  <si>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</si>
  <si>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</si>
  <si>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</si>
  <si>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</si>
  <si>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</si>
  <si>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</si>
  <si>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</si>
  <si>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</si>
  <si>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</si>
  <si>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</si>
  <si>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</si>
  <si>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</si>
  <si>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</si>
  <si>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</si>
  <si>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</si>
  <si>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</si>
  <si>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</si>
  <si>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</si>
  <si>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</si>
  <si>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</si>
  <si>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</si>
  <si>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</si>
  <si>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</si>
  <si>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</si>
  <si>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</si>
  <si>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</si>
  <si>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</si>
  <si>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</si>
  <si>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</si>
  <si>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</si>
  <si>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</si>
  <si>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</si>
  <si>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</si>
  <si>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</si>
  <si>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</si>
  <si>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</si>
  <si>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</si>
  <si>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</si>
  <si>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</si>
  <si>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</si>
  <si>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</si>
  <si>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</si>
  <si>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</si>
  <si>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</si>
  <si>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</si>
  <si>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</si>
  <si>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</si>
  <si>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</si>
  <si>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</si>
  <si>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</si>
  <si>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</si>
  <si>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</si>
  <si>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</si>
  <si>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</si>
  <si>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</si>
  <si>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</si>
  <si>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</si>
  <si>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</si>
  <si>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</si>
  <si>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</si>
  <si>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</si>
  <si>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</si>
  <si>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</si>
  <si>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</si>
  <si>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</si>
  <si>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</si>
  <si>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</si>
  <si>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</si>
  <si>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</si>
  <si>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</si>
  <si>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</si>
  <si>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</si>
  <si>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</si>
  <si>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</si>
  <si>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</si>
  <si>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</si>
  <si>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</si>
  <si>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</si>
  <si>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</si>
  <si>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</si>
  <si>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</si>
  <si>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</si>
  <si>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</si>
  <si>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</si>
  <si>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</si>
  <si>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</si>
  <si>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</si>
  <si>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</si>
  <si>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</si>
  <si>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</si>
  <si>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</si>
  <si>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</si>
  <si>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</si>
  <si>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</si>
  <si>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</si>
  <si>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</si>
  <si>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</si>
  <si>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</si>
  <si>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</si>
  <si>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</si>
  <si>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</si>
  <si>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</si>
  <si>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</si>
  <si>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</si>
  <si>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</si>
  <si>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</si>
  <si>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</si>
  <si>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</si>
  <si>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</si>
  <si>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</si>
  <si>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</si>
  <si>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</si>
  <si>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</si>
  <si>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</si>
  <si>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</si>
  <si>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</si>
  <si>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</si>
  <si>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</si>
  <si>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</si>
  <si>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</si>
  <si>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</si>
  <si>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</si>
  <si>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</si>
  <si>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</si>
  <si>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</si>
  <si>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</si>
  <si>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</si>
  <si>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</si>
  <si>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</si>
  <si>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</si>
  <si>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</si>
  <si>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</si>
  <si>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</si>
  <si>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</si>
  <si>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</si>
  <si>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</si>
  <si>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</si>
  <si>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</si>
  <si>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</si>
  <si>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</si>
  <si>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</si>
  <si>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</si>
  <si>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</si>
  <si>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</si>
  <si>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</si>
  <si>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</si>
  <si>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</si>
  <si>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</si>
  <si>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</si>
  <si>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</si>
  <si>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</si>
  <si>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</si>
  <si>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</si>
  <si>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</si>
  <si>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</si>
  <si>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</si>
  <si>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</si>
  <si>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</si>
  <si>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</si>
  <si>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</si>
  <si>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</si>
  <si>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</si>
  <si>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</si>
  <si>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</si>
  <si>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</si>
  <si>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</si>
  <si>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</si>
  <si>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</si>
  <si>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</si>
  <si>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</si>
  <si>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</si>
  <si>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</si>
  <si>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</si>
  <si>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</si>
  <si>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</si>
  <si>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</si>
  <si>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</si>
  <si>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</si>
  <si>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</si>
  <si>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</si>
  <si>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</si>
  <si>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</si>
  <si>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</si>
  <si>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</si>
  <si>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</si>
  <si>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</si>
  <si>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</si>
  <si>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</si>
  <si>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</si>
  <si>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</si>
  <si>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</si>
  <si>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</si>
  <si>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</si>
  <si>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</si>
  <si>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</si>
  <si>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</si>
  <si>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</si>
  <si>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</si>
  <si>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</si>
  <si>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</si>
  <si>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</si>
  <si>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</si>
  <si>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</si>
  <si>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</si>
  <si>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</si>
  <si>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</si>
  <si>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</si>
  <si>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</si>
  <si>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</si>
  <si>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</si>
  <si>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</si>
  <si>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</si>
  <si>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</si>
  <si>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</si>
  <si>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</si>
  <si>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</si>
  <si>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</si>
  <si>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</si>
  <si>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</si>
  <si>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</si>
  <si>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</si>
  <si>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</si>
  <si>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</si>
  <si>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</si>
  <si>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</si>
  <si>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</si>
  <si>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</si>
  <si>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</si>
  <si>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</si>
  <si>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</si>
  <si>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</si>
  <si>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</si>
  <si>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</si>
  <si>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</si>
  <si>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</si>
  <si>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</si>
  <si>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</si>
  <si>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</si>
  <si>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</si>
  <si>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</si>
  <si>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</si>
  <si>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</si>
  <si>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</si>
  <si>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</si>
  <si>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</si>
  <si>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</si>
  <si>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</si>
  <si>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</si>
  <si>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</si>
  <si>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</si>
  <si>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</si>
  <si>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</si>
  <si>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</si>
  <si>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</si>
  <si>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</si>
  <si>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</si>
  <si>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</si>
  <si>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</si>
  <si>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</si>
  <si>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</si>
  <si>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</si>
  <si>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</si>
  <si>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</si>
  <si>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</si>
  <si>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</si>
  <si>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</si>
  <si>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</si>
  <si>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</si>
  <si>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</si>
  <si>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</si>
  <si>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</si>
  <si>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</si>
  <si>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</si>
  <si>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</si>
  <si>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</si>
  <si>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</si>
  <si>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</si>
  <si>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</si>
  <si>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</si>
  <si>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</si>
  <si>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</si>
  <si>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</si>
  <si>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</si>
  <si>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</si>
  <si>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</si>
  <si>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</si>
  <si>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</si>
  <si>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</si>
  <si>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</si>
  <si>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</si>
  <si>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</si>
  <si>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</si>
  <si>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</si>
  <si>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</si>
  <si>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</si>
  <si>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</si>
  <si>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</si>
  <si>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</si>
  <si>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</si>
  <si>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</si>
  <si>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</si>
  <si>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</si>
  <si>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</si>
  <si>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</si>
  <si>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</si>
  <si>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</si>
  <si>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</si>
  <si>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</si>
  <si>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</si>
  <si>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</si>
  <si>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</si>
  <si>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</si>
  <si>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</si>
  <si>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</si>
  <si>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</si>
  <si>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</si>
  <si>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</si>
  <si>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</si>
  <si>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</si>
  <si>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</si>
  <si>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</si>
  <si>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</si>
  <si>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</si>
  <si>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</si>
  <si>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</si>
  <si>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</si>
  <si>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</si>
  <si>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</si>
  <si>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</si>
  <si>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</si>
  <si>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</si>
  <si>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</si>
  <si>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</si>
  <si>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</si>
  <si>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</si>
  <si>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</si>
  <si>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</si>
  <si>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</si>
  <si>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</si>
  <si>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</si>
  <si>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</si>
  <si>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</si>
  <si>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</si>
  <si>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</si>
  <si>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</si>
  <si>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</si>
  <si>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</si>
  <si>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</si>
  <si>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</si>
  <si>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</si>
  <si>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</si>
  <si>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</si>
  <si>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</si>
  <si>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</si>
  <si>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</si>
  <si>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</si>
  <si>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</si>
  <si>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</si>
  <si>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</si>
  <si>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</si>
  <si>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</si>
  <si>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</si>
  <si>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</si>
  <si>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</si>
  <si>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</si>
  <si>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</si>
  <si>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</si>
  <si>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</si>
  <si>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</si>
  <si>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</si>
  <si>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</si>
  <si>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</si>
  <si>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</si>
  <si>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</si>
  <si>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</si>
  <si>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</si>
  <si>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</si>
  <si>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</si>
  <si>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</si>
  <si>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</si>
  <si>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</si>
  <si>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</si>
  <si>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</si>
  <si>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</si>
  <si>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</si>
  <si>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</si>
  <si>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</si>
  <si>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</si>
  <si>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</si>
  <si>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</si>
  <si>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</si>
  <si>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</si>
  <si>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</si>
  <si>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</si>
  <si>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</si>
  <si>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</si>
  <si>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</si>
  <si>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</si>
  <si>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</si>
  <si>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</si>
  <si>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</si>
  <si>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</si>
  <si>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</si>
  <si>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</si>
  <si>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</si>
  <si>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</si>
  <si>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</si>
  <si>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</si>
  <si>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</si>
  <si>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</si>
  <si>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</si>
  <si>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</si>
  <si>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</si>
  <si>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</si>
  <si>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</si>
  <si>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</si>
  <si>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</si>
  <si>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</si>
  <si>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</si>
  <si>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</si>
  <si>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</si>
  <si>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</si>
  <si>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</si>
  <si>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</si>
  <si>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</si>
  <si>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</si>
  <si>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</si>
  <si>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</si>
  <si>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</si>
  <si>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</si>
  <si>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</si>
  <si>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</si>
  <si>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</si>
  <si>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</si>
  <si>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</si>
  <si>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</si>
  <si>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</si>
  <si>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</si>
  <si>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</si>
  <si>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</si>
  <si>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</si>
  <si>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</si>
  <si>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</si>
  <si>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</si>
  <si>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</si>
  <si>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</si>
  <si>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</si>
  <si>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</si>
  <si>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</si>
  <si>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</si>
  <si>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</si>
  <si>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</si>
  <si>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</si>
  <si>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</si>
  <si>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</si>
  <si>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</si>
  <si>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</si>
  <si>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</si>
  <si>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</si>
  <si>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</si>
  <si>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</si>
  <si>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</si>
  <si>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</si>
  <si>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</si>
  <si>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</si>
  <si>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</si>
  <si>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</si>
  <si>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</si>
  <si>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</si>
  <si>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</si>
  <si>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</si>
  <si>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</si>
  <si>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</si>
  <si>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</si>
  <si>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</si>
  <si>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</si>
  <si>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</si>
  <si>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</si>
  <si>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</si>
  <si>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</si>
  <si>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</si>
  <si>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</si>
  <si>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</si>
  <si>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</si>
  <si>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</si>
  <si>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</si>
  <si>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</si>
  <si>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</si>
  <si>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</si>
  <si>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</si>
  <si>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</si>
  <si>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</si>
  <si>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</si>
  <si>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</si>
  <si>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</si>
  <si>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</si>
  <si>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</si>
  <si>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</si>
  <si>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</si>
  <si>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</si>
  <si>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</si>
  <si>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</si>
  <si>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</si>
  <si>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</si>
  <si>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</si>
  <si>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</si>
  <si>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</si>
  <si>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</si>
  <si>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</si>
  <si>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</si>
  <si>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</si>
  <si>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</si>
  <si>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</si>
  <si>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</si>
  <si>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</si>
  <si>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</si>
  <si>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</si>
  <si>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</si>
  <si>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</si>
  <si>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</si>
  <si>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</si>
  <si>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</si>
  <si>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</si>
  <si>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</si>
  <si>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</si>
  <si>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</si>
  <si>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</si>
  <si>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</si>
  <si>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</si>
  <si>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</si>
  <si>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</si>
  <si>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</si>
  <si>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</si>
  <si>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</si>
  <si>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</si>
  <si>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</si>
  <si>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</si>
  <si>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</si>
  <si>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</si>
  <si>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</si>
  <si>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</si>
  <si>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</si>
  <si>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</si>
  <si>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</si>
  <si>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</si>
  <si>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</si>
  <si>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</si>
  <si>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</si>
  <si>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</si>
  <si>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</si>
  <si>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</si>
  <si>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</si>
  <si>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</si>
  <si>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</si>
  <si>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</si>
  <si>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</si>
  <si>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</si>
  <si>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</si>
  <si>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</si>
  <si>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</si>
  <si>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</si>
  <si>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</si>
  <si>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</si>
  <si>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</si>
  <si>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</si>
  <si>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</si>
  <si>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</si>
  <si>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</si>
  <si>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</si>
  <si>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</si>
  <si>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</si>
  <si>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</si>
  <si>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</si>
  <si>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</si>
  <si>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</si>
  <si>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</si>
  <si>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</si>
  <si>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</si>
  <si>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</si>
  <si>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</si>
  <si>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</si>
  <si>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</si>
  <si>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</si>
  <si>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</si>
  <si>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</si>
  <si>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</si>
  <si>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</si>
  <si>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</si>
  <si>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</si>
  <si>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</si>
  <si>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</si>
  <si>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</si>
  <si>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</si>
  <si>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</si>
  <si>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</si>
  <si>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</si>
  <si>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</si>
  <si>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</si>
  <si>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</si>
  <si>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</si>
  <si>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</si>
  <si>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</si>
  <si>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</si>
  <si>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</si>
  <si>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</si>
  <si>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</si>
  <si>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</si>
  <si>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</si>
  <si>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</si>
  <si>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</si>
  <si>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</si>
  <si>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</si>
  <si>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</si>
  <si>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</si>
  <si>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</si>
  <si>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</si>
  <si>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</si>
  <si>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</si>
  <si>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</si>
  <si>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</si>
  <si>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</si>
  <si>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</si>
  <si>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</si>
  <si>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</si>
  <si>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</si>
  <si>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</si>
  <si>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</si>
  <si>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</si>
  <si>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</si>
  <si>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</si>
  <si>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</si>
  <si>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</si>
  <si>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</si>
  <si>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</si>
  <si>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</si>
  <si>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</si>
  <si>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</si>
  <si>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</si>
  <si>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</si>
  <si>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</si>
  <si>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</si>
  <si>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</si>
  <si>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</si>
  <si>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</si>
  <si>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</si>
  <si>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</si>
  <si>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</si>
  <si>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</si>
  <si>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</si>
  <si>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</si>
  <si>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</si>
  <si>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</si>
  <si>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</si>
  <si>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</si>
  <si>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</si>
  <si>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</si>
  <si>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</si>
  <si>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</si>
  <si>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</si>
  <si>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</si>
  <si>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</si>
  <si>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</si>
  <si>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</si>
  <si>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</si>
  <si>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</si>
  <si>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</si>
  <si>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</si>
  <si>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</si>
  <si>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</si>
  <si>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</si>
  <si>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</si>
  <si>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</si>
  <si>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</si>
  <si>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</si>
  <si>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</si>
  <si>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</si>
  <si>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</si>
  <si>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</si>
  <si>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</si>
  <si>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</si>
  <si>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</si>
  <si>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</si>
  <si>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</si>
  <si>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</si>
  <si>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</si>
  <si>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</si>
  <si>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</si>
  <si>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</si>
  <si>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</si>
  <si>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</si>
  <si>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</si>
  <si>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</si>
  <si>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</si>
  <si>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</si>
  <si>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</si>
  <si>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</si>
  <si>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</si>
  <si>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</si>
  <si>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</si>
  <si>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</si>
  <si>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</si>
  <si>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</si>
  <si>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</si>
  <si>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</si>
  <si>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</si>
  <si>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</si>
  <si>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</si>
  <si>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</si>
  <si>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</si>
  <si>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</si>
  <si>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</si>
  <si>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</si>
  <si>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</si>
  <si>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</si>
  <si>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</si>
  <si>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</si>
  <si>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</si>
  <si>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</si>
  <si>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</si>
  <si>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</si>
  <si>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</si>
  <si>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</si>
  <si>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</si>
  <si>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</si>
  <si>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</si>
  <si>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</si>
  <si>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</si>
  <si>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</si>
  <si>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</si>
  <si>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</si>
  <si>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</si>
  <si>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</si>
  <si>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</si>
  <si>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</si>
  <si>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</si>
  <si>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</si>
  <si>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</si>
  <si>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</si>
  <si>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</si>
  <si>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</si>
  <si>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</si>
  <si>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</si>
  <si>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</si>
  <si>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</si>
  <si>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</si>
  <si>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</si>
  <si>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</si>
  <si>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</si>
  <si>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</si>
  <si>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</si>
  <si>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</si>
  <si>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</si>
  <si>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</si>
  <si>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</si>
  <si>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</si>
  <si>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</si>
  <si>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</si>
  <si>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</si>
  <si>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</si>
  <si>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</si>
  <si>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</si>
  <si>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</si>
  <si>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</si>
  <si>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</si>
  <si>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</si>
  <si>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</si>
  <si>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</si>
  <si>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</si>
  <si>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</si>
  <si>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</si>
  <si>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</si>
  <si>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</si>
  <si>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</si>
  <si>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</si>
  <si>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</si>
  <si>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</si>
  <si>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</si>
  <si>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</si>
  <si>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</si>
  <si>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</si>
  <si>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</si>
  <si>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</si>
  <si>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</si>
  <si>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</si>
  <si>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</si>
  <si>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</si>
  <si>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</si>
  <si>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</si>
  <si>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</si>
  <si>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</si>
  <si>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</si>
  <si>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</si>
  <si>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</si>
  <si>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</si>
  <si>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</si>
  <si>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</si>
  <si>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</si>
  <si>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</si>
  <si>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</si>
  <si>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</si>
  <si>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</si>
  <si>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</si>
  <si>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</si>
  <si>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</si>
  <si>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</si>
  <si>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</si>
  <si>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</si>
  <si>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</si>
  <si>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</si>
  <si>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</si>
  <si>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</si>
  <si>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</si>
  <si>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</si>
  <si>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</si>
  <si>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</si>
  <si>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</si>
  <si>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</si>
  <si>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</si>
  <si>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</si>
  <si>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</si>
  <si>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</si>
  <si>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</si>
  <si>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</si>
  <si>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</si>
  <si>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</si>
  <si>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</si>
  <si>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</si>
  <si>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</si>
  <si>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</si>
  <si>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</si>
  <si>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</si>
  <si>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</si>
  <si>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</si>
  <si>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</si>
  <si>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</si>
  <si>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</si>
  <si>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</si>
  <si>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</si>
  <si>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</si>
  <si>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</si>
  <si>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</si>
  <si>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</si>
  <si>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</si>
  <si>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</si>
  <si>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</si>
  <si>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</si>
  <si>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</si>
  <si>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</si>
  <si>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</si>
  <si>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</si>
  <si>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</si>
  <si>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</si>
  <si>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</si>
  <si>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</si>
  <si>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</si>
  <si>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</si>
  <si>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</si>
  <si>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</si>
  <si>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</si>
  <si>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</si>
  <si>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</si>
  <si>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</si>
  <si>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</si>
  <si>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</si>
  <si>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</si>
  <si>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</si>
  <si>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</si>
  <si>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</si>
  <si>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</si>
  <si>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</si>
  <si>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</si>
  <si>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</si>
  <si>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</si>
  <si>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</si>
  <si>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</si>
  <si>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</si>
  <si>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</si>
  <si>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</si>
  <si>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</si>
  <si>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</si>
  <si>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</si>
  <si>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</si>
  <si>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</si>
  <si>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</si>
  <si>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</si>
  <si>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</si>
  <si>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</si>
  <si>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</si>
  <si>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</si>
  <si>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</si>
  <si>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</si>
  <si>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</si>
  <si>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</si>
  <si>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</si>
  <si>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</si>
  <si>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</si>
  <si>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</si>
  <si>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</si>
  <si>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</si>
  <si>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</si>
  <si>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</si>
  <si>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</si>
  <si>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</si>
  <si>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</si>
  <si>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</si>
  <si>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</si>
  <si>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</si>
  <si>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</si>
  <si>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</si>
  <si>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</si>
  <si>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</si>
  <si>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</si>
  <si>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</si>
  <si>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</si>
  <si>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</si>
  <si>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</si>
  <si>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</si>
  <si>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</si>
  <si>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</si>
  <si>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</si>
  <si>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</si>
  <si>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</si>
  <si>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</si>
  <si>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</si>
  <si>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</si>
  <si>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</si>
  <si>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</si>
  <si>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</si>
  <si>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</si>
  <si>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</si>
  <si>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</si>
  <si>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</si>
  <si>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</si>
  <si>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</si>
  <si>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</si>
  <si>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</si>
  <si>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</si>
  <si>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</si>
  <si>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</si>
  <si>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</si>
  <si>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</si>
  <si>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</si>
  <si>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</si>
  <si>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</si>
  <si>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</si>
  <si>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</si>
  <si>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</si>
  <si>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</si>
  <si>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</si>
  <si>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</si>
  <si>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</si>
  <si>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</si>
  <si>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</si>
  <si>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</si>
  <si>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</si>
  <si>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</si>
  <si>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</si>
  <si>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</si>
  <si>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</si>
  <si>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</si>
  <si>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</si>
  <si>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</si>
  <si>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</si>
  <si>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</si>
  <si>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</si>
  <si>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</si>
  <si>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</si>
  <si>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</si>
  <si>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</si>
  <si>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</si>
  <si>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</si>
  <si>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</si>
  <si>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</si>
  <si>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</si>
  <si>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</si>
  <si>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</si>
  <si>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</si>
  <si>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</si>
  <si>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</si>
  <si>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</si>
  <si>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</si>
  <si>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</si>
  <si>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</si>
  <si>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</si>
  <si>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</si>
  <si>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</si>
  <si>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</si>
  <si>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</si>
  <si>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</si>
  <si>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</si>
  <si>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</si>
  <si>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</si>
  <si>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</si>
  <si>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</si>
  <si>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</si>
  <si>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</si>
  <si>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</si>
  <si>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</si>
  <si>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</si>
  <si>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</si>
  <si>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</si>
  <si>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</si>
  <si>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</si>
  <si>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</si>
  <si>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</si>
  <si>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</si>
  <si>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</si>
  <si>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</si>
  <si>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</si>
  <si>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</si>
  <si>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</si>
  <si>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</si>
  <si>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</si>
  <si>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</si>
  <si>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</si>
  <si>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</si>
  <si>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</si>
  <si>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</si>
  <si>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</si>
  <si>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</si>
  <si>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</si>
  <si>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</si>
  <si>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</si>
  <si>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</si>
  <si>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</si>
  <si>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</si>
  <si>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</si>
  <si>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</si>
  <si>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</si>
  <si>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</si>
  <si>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</si>
  <si>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</si>
  <si>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</si>
  <si>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</si>
  <si>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</si>
  <si>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</si>
  <si>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</si>
  <si>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</si>
  <si>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</si>
  <si>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</si>
  <si>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</si>
  <si>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</si>
  <si>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</si>
  <si>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</si>
  <si>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</si>
  <si>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</si>
  <si>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</si>
  <si>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</si>
  <si>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</si>
  <si>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</si>
  <si>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</si>
  <si>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</si>
  <si>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</si>
  <si>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</si>
  <si>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</si>
  <si>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</si>
  <si>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</si>
  <si>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</si>
  <si>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</si>
  <si>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</si>
  <si>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</si>
  <si>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</si>
  <si>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</si>
  <si>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</si>
  <si>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</si>
  <si>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</si>
  <si>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</si>
  <si>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</si>
  <si>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</si>
  <si>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</si>
  <si>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</si>
  <si>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</si>
  <si>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</si>
  <si>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</si>
  <si>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</si>
  <si>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</si>
  <si>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</si>
  <si>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</si>
  <si>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</si>
  <si>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</si>
  <si>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</si>
  <si>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</si>
  <si>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</si>
  <si>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</si>
  <si>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</si>
  <si>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</si>
  <si>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</si>
  <si>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</si>
  <si>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</si>
  <si>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</si>
  <si>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</si>
  <si>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</si>
  <si>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</si>
  <si>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</si>
  <si>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</si>
  <si>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</si>
  <si>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</si>
  <si>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</si>
  <si>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</si>
  <si>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</si>
  <si>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</si>
  <si>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</si>
  <si>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</si>
  <si>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</si>
  <si>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</si>
  <si>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</si>
  <si>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</si>
  <si>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</si>
  <si>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</si>
  <si>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</si>
  <si>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</si>
  <si>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</si>
  <si>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</si>
  <si>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</si>
  <si>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</si>
  <si>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</si>
  <si>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</si>
  <si>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</si>
  <si>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</si>
  <si>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</si>
  <si>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</si>
  <si>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</si>
  <si>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</si>
  <si>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</si>
  <si>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</si>
  <si>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</si>
  <si>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</si>
  <si>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</si>
  <si>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</si>
  <si>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</si>
  <si>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</si>
  <si>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</si>
  <si>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</si>
  <si>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</si>
  <si>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</si>
  <si>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</si>
  <si>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</si>
  <si>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</si>
  <si>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</si>
  <si>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</si>
  <si>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</si>
  <si>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</si>
  <si>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</si>
  <si>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</si>
  <si>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</si>
  <si>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</si>
  <si>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</si>
  <si>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</si>
  <si>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</si>
  <si>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</si>
  <si>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</si>
  <si>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</si>
  <si>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</si>
  <si>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</si>
  <si>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</si>
  <si>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</si>
  <si>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</si>
  <si>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</si>
  <si>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</si>
  <si>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</si>
  <si>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</si>
  <si>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</si>
  <si>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</si>
  <si>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</si>
  <si>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</si>
  <si>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</si>
  <si>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</si>
  <si>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</si>
  <si>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</si>
  <si>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</si>
  <si>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</si>
  <si>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</si>
  <si>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</si>
  <si>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</si>
  <si>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</si>
  <si>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</si>
  <si>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</si>
  <si>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</si>
  <si>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</si>
  <si>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</si>
  <si>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</si>
  <si>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</si>
  <si>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</si>
  <si>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</si>
  <si>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</si>
  <si>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</si>
  <si>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</si>
  <si>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</si>
  <si>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</si>
  <si>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</si>
  <si>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</si>
  <si>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</si>
  <si>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</si>
  <si>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</si>
  <si>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</si>
  <si>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</si>
  <si>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</si>
  <si>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</si>
  <si>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</si>
  <si>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</si>
  <si>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</si>
  <si>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</si>
  <si>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</si>
  <si>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</si>
  <si>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</si>
  <si>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</si>
  <si>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</si>
  <si>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</si>
  <si>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</si>
  <si>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</si>
  <si>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</si>
  <si>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</si>
  <si>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</si>
  <si>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</si>
  <si>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</si>
  <si>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</si>
  <si>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</si>
  <si>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</si>
  <si>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</si>
  <si>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</si>
  <si>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</si>
  <si>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</si>
  <si>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</si>
  <si>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</si>
  <si>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</si>
  <si>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</si>
  <si>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</si>
  <si>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</si>
  <si>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</si>
  <si>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</si>
  <si>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</si>
  <si>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</si>
  <si>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</si>
  <si>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</si>
  <si>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</si>
  <si>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</si>
  <si>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</si>
  <si>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</si>
  <si>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</si>
  <si>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</si>
  <si>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</si>
  <si>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</si>
  <si>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</si>
  <si>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</si>
  <si>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</si>
  <si>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</si>
  <si>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</si>
  <si>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</si>
  <si>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</si>
  <si>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</si>
  <si>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</si>
  <si>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</si>
  <si>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</si>
  <si>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</si>
  <si>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</si>
  <si>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</si>
  <si>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</si>
  <si>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</si>
  <si>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</si>
  <si>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</si>
  <si>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</si>
  <si>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</si>
  <si>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</si>
  <si>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</si>
  <si>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</si>
  <si>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</si>
  <si>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</si>
  <si>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</si>
  <si>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</si>
  <si>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</si>
  <si>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</si>
  <si>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</si>
  <si>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</si>
  <si>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</si>
  <si>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</si>
  <si>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</si>
  <si>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</si>
  <si>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</si>
  <si>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</si>
  <si>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</si>
  <si>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</si>
  <si>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</si>
  <si>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</si>
  <si>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</si>
  <si>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</si>
  <si>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</si>
  <si>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</si>
  <si>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</si>
  <si>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</si>
  <si>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</si>
  <si>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</si>
  <si>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</si>
  <si>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</si>
  <si>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</si>
  <si>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</si>
  <si>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</si>
  <si>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</si>
  <si>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</si>
  <si>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</si>
  <si>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</si>
  <si>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</si>
  <si>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</si>
  <si>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</si>
  <si>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</si>
  <si>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</si>
  <si>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</si>
  <si>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</si>
  <si>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</si>
  <si>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</si>
  <si>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</si>
  <si>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</si>
  <si>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</si>
  <si>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</si>
  <si>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</si>
  <si>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</si>
  <si>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</si>
  <si>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</si>
  <si>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</si>
  <si>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</si>
  <si>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</si>
  <si>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</si>
  <si>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</si>
  <si>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</si>
  <si>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</si>
  <si>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</si>
  <si>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</si>
  <si>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</si>
  <si>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</si>
  <si>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</si>
  <si>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</si>
  <si>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</si>
  <si>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</si>
  <si>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</si>
  <si>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</si>
  <si>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</si>
  <si>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</si>
  <si>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</si>
  <si>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</si>
  <si>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</si>
  <si>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</si>
  <si>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</si>
  <si>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</si>
  <si>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</si>
  <si>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</si>
  <si>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</si>
  <si>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</si>
  <si>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</si>
  <si>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</si>
  <si>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</si>
  <si>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</si>
  <si>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</si>
  <si>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</si>
  <si>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</si>
  <si>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</si>
  <si>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</si>
  <si>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</si>
  <si>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</si>
  <si>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</si>
  <si>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</si>
  <si>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</si>
  <si>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</si>
  <si>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</si>
  <si>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</si>
  <si>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</si>
  <si>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</si>
  <si>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</si>
  <si>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</si>
  <si>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</si>
  <si>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</si>
  <si>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</si>
  <si>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</si>
  <si>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</si>
  <si>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</si>
  <si>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</si>
  <si>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</si>
  <si>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</si>
  <si>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</si>
  <si>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</si>
  <si>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</si>
  <si>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</si>
  <si>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</si>
  <si>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</si>
  <si>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</si>
  <si>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</si>
  <si>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</si>
  <si>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</si>
  <si>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</si>
  <si>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</si>
  <si>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</si>
  <si>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</si>
  <si>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</si>
  <si>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</si>
  <si>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</si>
  <si>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</si>
  <si>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</si>
  <si>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</si>
  <si>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</si>
  <si>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</si>
  <si>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</si>
  <si>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</si>
  <si>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</si>
  <si>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</si>
  <si>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</si>
  <si>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</si>
  <si>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</si>
  <si>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</si>
  <si>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</si>
  <si>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</si>
  <si>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</si>
  <si>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</si>
  <si>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</si>
  <si>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</si>
  <si>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</si>
  <si>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</si>
  <si>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</si>
  <si>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</si>
  <si>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</si>
  <si>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</si>
  <si>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</si>
  <si>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</si>
  <si>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</si>
  <si>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</si>
  <si>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</si>
  <si>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</si>
  <si>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</si>
  <si>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</si>
  <si>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</si>
  <si>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</si>
  <si>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</si>
  <si>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</si>
  <si>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</si>
  <si>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</si>
  <si>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</si>
  <si>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</si>
  <si>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</si>
  <si>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</si>
  <si>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</si>
  <si>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</si>
  <si>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</si>
  <si>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</si>
  <si>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</si>
  <si>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</si>
  <si>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</si>
  <si>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</si>
  <si>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</si>
  <si>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</si>
  <si>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</si>
  <si>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</si>
  <si>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</si>
  <si>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</si>
  <si>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</si>
  <si>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</si>
  <si>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</si>
  <si>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</si>
  <si>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</si>
  <si>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</si>
  <si>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</si>
  <si>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</si>
  <si>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</si>
  <si>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</si>
  <si>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</si>
  <si>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</si>
  <si>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</si>
  <si>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</si>
  <si>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</si>
  <si>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</si>
  <si>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</si>
  <si>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</si>
  <si>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</si>
  <si>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</si>
  <si>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</si>
  <si>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</si>
  <si>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</si>
  <si>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</si>
  <si>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</si>
  <si>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</si>
  <si>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</si>
  <si>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</si>
  <si>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</si>
  <si>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</si>
  <si>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</si>
  <si>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</si>
  <si>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</si>
  <si>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</si>
  <si>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</si>
  <si>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</si>
  <si>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</si>
  <si>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</si>
  <si>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</si>
  <si>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</si>
  <si>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</si>
  <si>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</si>
  <si>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</si>
  <si>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</si>
  <si>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</si>
  <si>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</si>
  <si>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</si>
  <si>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</si>
  <si>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</si>
  <si>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</si>
  <si>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</si>
  <si>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</si>
  <si>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</si>
  <si>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</si>
  <si>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</si>
  <si>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</si>
  <si>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</si>
  <si>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</si>
  <si>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</si>
  <si>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</si>
  <si>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</si>
  <si>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</si>
  <si>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</si>
  <si>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</si>
  <si>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</si>
  <si>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</si>
  <si>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</si>
  <si>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</si>
  <si>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</si>
  <si>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</si>
  <si>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</si>
  <si>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</si>
  <si>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</si>
  <si>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</si>
  <si>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</si>
  <si>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</si>
  <si>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</si>
  <si>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</si>
  <si>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</si>
  <si>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</si>
  <si>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</si>
  <si>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</si>
  <si>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</si>
  <si>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</si>
  <si>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</si>
  <si>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</si>
  <si>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</si>
  <si>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</si>
  <si>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</si>
  <si>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</si>
  <si>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</si>
  <si>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</si>
  <si>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</si>
  <si>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</si>
  <si>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</si>
  <si>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</si>
  <si>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</si>
  <si>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</si>
  <si>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</si>
  <si>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</si>
  <si>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</si>
  <si>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</si>
  <si>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</si>
  <si>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</si>
  <si>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</si>
  <si>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</si>
  <si>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</si>
  <si>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</si>
  <si>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</si>
  <si>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</si>
  <si>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</si>
  <si>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</si>
  <si>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</si>
  <si>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</si>
  <si>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</si>
  <si>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</si>
  <si>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</si>
  <si>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</si>
  <si>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</si>
  <si>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</si>
  <si>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</si>
  <si>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</si>
  <si>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</si>
  <si>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</si>
  <si>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</si>
  <si>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</si>
  <si>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</si>
  <si>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</si>
  <si>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</si>
  <si>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</si>
  <si>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</si>
  <si>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</si>
  <si>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</si>
  <si>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</si>
  <si>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</si>
  <si>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</si>
  <si>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</si>
  <si>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</si>
  <si>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</si>
  <si>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</si>
  <si>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</si>
  <si>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</si>
  <si>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</si>
  <si>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</si>
  <si>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</si>
  <si>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</si>
  <si>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</si>
  <si>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</si>
  <si>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</si>
  <si>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</si>
  <si>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</si>
  <si>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</si>
  <si>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</si>
  <si>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</si>
  <si>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</si>
  <si>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</si>
  <si>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</si>
  <si>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</si>
  <si>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</si>
  <si>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</si>
  <si>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</si>
  <si>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</si>
  <si>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</si>
  <si>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</si>
  <si>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</si>
  <si>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</si>
  <si>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</si>
  <si>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</si>
  <si>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</si>
  <si>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</si>
  <si>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</si>
  <si>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</si>
  <si>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</si>
  <si>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</si>
  <si>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</si>
  <si>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</si>
  <si>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</si>
  <si>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</si>
  <si>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</si>
  <si>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</si>
  <si>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</si>
  <si>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</si>
  <si>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</si>
  <si>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</si>
  <si>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</si>
  <si>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</si>
  <si>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</si>
  <si>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</si>
  <si>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</si>
  <si>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</si>
  <si>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</si>
  <si>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</si>
  <si>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</si>
  <si>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</si>
  <si>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</si>
  <si>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سکه9912 تعداد 10 قیمت 389000</t>
  </si>
  <si>
    <t>فروش سهام و خرید سکه</t>
  </si>
  <si>
    <t>15/9/1397</t>
  </si>
  <si>
    <t>پول نقد ملت علی</t>
  </si>
  <si>
    <t>از ملت علی ومهدی و داریوش و داود</t>
  </si>
  <si>
    <t>16/9/1397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</si>
</sst>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18" sqref="F18"/>
    </sheetView>
  </sheetViews>
  <sheetFormatPr defaultRowHeight="15"/>
  <cols>
    <col min="2" max="2" width="15.14062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4474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4484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4492</v>
      </c>
      <c r="B6" s="18">
        <v>3000000</v>
      </c>
      <c r="C6" s="18">
        <v>0</v>
      </c>
      <c r="D6" s="113">
        <f t="shared" si="0"/>
        <v>3000000</v>
      </c>
      <c r="E6" s="19" t="s">
        <v>4493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4483</v>
      </c>
      <c r="B7" s="18">
        <v>-2000700</v>
      </c>
      <c r="C7" s="18">
        <v>0</v>
      </c>
      <c r="D7" s="113">
        <f t="shared" si="0"/>
        <v>-2000700</v>
      </c>
      <c r="E7" s="19" t="s">
        <v>4524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4483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4483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4483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4533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4533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4543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4555</v>
      </c>
      <c r="B16" s="18">
        <v>12000000</v>
      </c>
      <c r="C16" s="18">
        <v>0</v>
      </c>
      <c r="D16" s="113">
        <f t="shared" si="0"/>
        <v>12000000</v>
      </c>
      <c r="E16" s="20" t="s">
        <v>4557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4558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15651494</v>
      </c>
      <c r="C27" s="113">
        <f>SUM(C2:C26)</f>
        <v>8034286</v>
      </c>
      <c r="D27" s="113">
        <f>SUM(D2:D26)</f>
        <v>7617208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242277920</v>
      </c>
      <c r="H28" s="18">
        <f>SUM(H2:H26)</f>
        <v>241028580</v>
      </c>
      <c r="I28" s="18">
        <f>SUM(I2:I26)</f>
        <v>1249340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4521</v>
      </c>
      <c r="F33" s="96"/>
      <c r="G33" s="18">
        <v>600</v>
      </c>
      <c r="H33" s="18">
        <f>G33*H28/G28</f>
        <v>596.90601603315724</v>
      </c>
      <c r="I33" s="18">
        <f>G33*I28/G28</f>
        <v>3.0939839668427069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4549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54"/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54" t="s">
        <v>25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f>SUM(D33:D45)</f>
        <v>1856049</v>
      </c>
      <c r="E46" s="96" t="s">
        <v>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41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96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96"/>
      <c r="E49" s="96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96"/>
      <c r="E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6" activePane="bottomLeft" state="frozen"/>
      <selection pane="bottomLeft" activeCell="F255" sqref="F2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973</v>
      </c>
      <c r="H2" s="36">
        <f>IF(B2&gt;0,1,0)</f>
        <v>1</v>
      </c>
      <c r="I2" s="11">
        <f>B2*(G2-H2)</f>
        <v>16232400</v>
      </c>
      <c r="J2" s="53">
        <f>C2*(G2-H2)</f>
        <v>16232400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972</v>
      </c>
      <c r="H3" s="36">
        <f t="shared" ref="H3:H66" si="2">IF(B3&gt;0,1,0)</f>
        <v>1</v>
      </c>
      <c r="I3" s="11">
        <f t="shared" ref="I3:I66" si="3">B3*(G3-H3)</f>
        <v>19322900000</v>
      </c>
      <c r="J3" s="53">
        <f t="shared" ref="J3:J66" si="4">C3*(G3-H3)</f>
        <v>11056777000</v>
      </c>
      <c r="K3" s="53">
        <f t="shared" ref="K3:K66" si="5">D3*(G3-H3)</f>
        <v>8266123000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972</v>
      </c>
      <c r="H4" s="36">
        <f t="shared" si="2"/>
        <v>0</v>
      </c>
      <c r="I4" s="11">
        <f t="shared" si="3"/>
        <v>0</v>
      </c>
      <c r="J4" s="53">
        <f t="shared" si="4"/>
        <v>8262000</v>
      </c>
      <c r="K4" s="53">
        <f t="shared" si="5"/>
        <v>-8262000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970</v>
      </c>
      <c r="H5" s="36">
        <f t="shared" si="2"/>
        <v>1</v>
      </c>
      <c r="I5" s="11">
        <f t="shared" si="3"/>
        <v>1938000000</v>
      </c>
      <c r="J5" s="53">
        <f t="shared" si="4"/>
        <v>0</v>
      </c>
      <c r="K5" s="53">
        <f t="shared" si="5"/>
        <v>1938000000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963</v>
      </c>
      <c r="H6" s="36">
        <f t="shared" si="2"/>
        <v>0</v>
      </c>
      <c r="I6" s="11">
        <f t="shared" si="3"/>
        <v>-4815000</v>
      </c>
      <c r="J6" s="53">
        <f t="shared" si="4"/>
        <v>0</v>
      </c>
      <c r="K6" s="53">
        <f t="shared" si="5"/>
        <v>-4815000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959</v>
      </c>
      <c r="H7" s="36">
        <f t="shared" si="2"/>
        <v>0</v>
      </c>
      <c r="I7" s="11">
        <f t="shared" si="3"/>
        <v>-1151279500</v>
      </c>
      <c r="J7" s="53">
        <f t="shared" si="4"/>
        <v>0</v>
      </c>
      <c r="K7" s="53">
        <f t="shared" si="5"/>
        <v>-1151279500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958</v>
      </c>
      <c r="H8" s="36">
        <f t="shared" si="2"/>
        <v>0</v>
      </c>
      <c r="I8" s="11">
        <f t="shared" si="3"/>
        <v>-191600000</v>
      </c>
      <c r="J8" s="53">
        <f t="shared" si="4"/>
        <v>0</v>
      </c>
      <c r="K8" s="53">
        <f t="shared" si="5"/>
        <v>-191600000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956</v>
      </c>
      <c r="H9" s="36">
        <f t="shared" si="2"/>
        <v>0</v>
      </c>
      <c r="I9" s="11">
        <f t="shared" si="3"/>
        <v>-674458000</v>
      </c>
      <c r="J9" s="53">
        <f t="shared" si="4"/>
        <v>0</v>
      </c>
      <c r="K9" s="53">
        <f t="shared" si="5"/>
        <v>-674458000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947</v>
      </c>
      <c r="H10" s="36">
        <f t="shared" si="2"/>
        <v>0</v>
      </c>
      <c r="I10" s="11">
        <f t="shared" si="3"/>
        <v>-189400000</v>
      </c>
      <c r="J10" s="53">
        <f t="shared" si="4"/>
        <v>0</v>
      </c>
      <c r="K10" s="53">
        <f t="shared" si="5"/>
        <v>-189400000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947</v>
      </c>
      <c r="H11" s="36">
        <f t="shared" si="2"/>
        <v>1</v>
      </c>
      <c r="I11" s="11">
        <f t="shared" si="3"/>
        <v>946000000</v>
      </c>
      <c r="J11" s="53">
        <f t="shared" si="4"/>
        <v>0</v>
      </c>
      <c r="K11" s="53">
        <f t="shared" si="5"/>
        <v>946000000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943</v>
      </c>
      <c r="H12" s="36">
        <f t="shared" si="2"/>
        <v>0</v>
      </c>
      <c r="I12" s="11">
        <f t="shared" si="3"/>
        <v>-282900000</v>
      </c>
      <c r="J12" s="53">
        <f t="shared" si="4"/>
        <v>0</v>
      </c>
      <c r="K12" s="53">
        <f t="shared" si="5"/>
        <v>-282900000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938</v>
      </c>
      <c r="H13" s="36">
        <f t="shared" si="2"/>
        <v>0</v>
      </c>
      <c r="I13" s="11">
        <f t="shared" si="3"/>
        <v>-58156000</v>
      </c>
      <c r="J13" s="53">
        <f t="shared" si="4"/>
        <v>0</v>
      </c>
      <c r="K13" s="53">
        <f t="shared" si="5"/>
        <v>-58156000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938</v>
      </c>
      <c r="H14" s="36">
        <f t="shared" si="2"/>
        <v>1</v>
      </c>
      <c r="I14" s="11">
        <f t="shared" si="3"/>
        <v>1874000000</v>
      </c>
      <c r="J14" s="53">
        <f t="shared" si="4"/>
        <v>0</v>
      </c>
      <c r="K14" s="53">
        <f t="shared" si="5"/>
        <v>1874000000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937</v>
      </c>
      <c r="H15" s="36">
        <f t="shared" si="2"/>
        <v>1</v>
      </c>
      <c r="I15" s="11">
        <f t="shared" si="3"/>
        <v>1684800000</v>
      </c>
      <c r="J15" s="53">
        <f t="shared" si="4"/>
        <v>0</v>
      </c>
      <c r="K15" s="53">
        <f t="shared" si="5"/>
        <v>1684800000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937</v>
      </c>
      <c r="H16" s="36">
        <f t="shared" si="2"/>
        <v>0</v>
      </c>
      <c r="I16" s="11">
        <f t="shared" si="3"/>
        <v>-187400000</v>
      </c>
      <c r="J16" s="53">
        <f t="shared" si="4"/>
        <v>0</v>
      </c>
      <c r="K16" s="53">
        <f t="shared" si="5"/>
        <v>-187400000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933</v>
      </c>
      <c r="H17" s="36">
        <f t="shared" si="2"/>
        <v>0</v>
      </c>
      <c r="I17" s="11">
        <f t="shared" si="3"/>
        <v>-1866000000</v>
      </c>
      <c r="J17" s="53">
        <f t="shared" si="4"/>
        <v>0</v>
      </c>
      <c r="K17" s="53">
        <f t="shared" si="5"/>
        <v>-1866000000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932</v>
      </c>
      <c r="H18" s="36">
        <f t="shared" si="2"/>
        <v>0</v>
      </c>
      <c r="I18" s="11">
        <f t="shared" si="3"/>
        <v>-279600000</v>
      </c>
      <c r="J18" s="53">
        <f t="shared" si="4"/>
        <v>0</v>
      </c>
      <c r="K18" s="53">
        <f t="shared" si="5"/>
        <v>-279600000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931</v>
      </c>
      <c r="H19" s="36">
        <f t="shared" si="2"/>
        <v>0</v>
      </c>
      <c r="I19" s="11">
        <f t="shared" si="3"/>
        <v>-186200000</v>
      </c>
      <c r="J19" s="53">
        <f t="shared" si="4"/>
        <v>0</v>
      </c>
      <c r="K19" s="53">
        <f t="shared" si="5"/>
        <v>-186200000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929</v>
      </c>
      <c r="H20" s="36">
        <f t="shared" si="2"/>
        <v>1</v>
      </c>
      <c r="I20" s="11">
        <f t="shared" si="3"/>
        <v>251570592</v>
      </c>
      <c r="J20" s="53">
        <f t="shared" si="4"/>
        <v>136835456</v>
      </c>
      <c r="K20" s="53">
        <f t="shared" si="5"/>
        <v>114735136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927</v>
      </c>
      <c r="H21" s="36">
        <f t="shared" si="2"/>
        <v>0</v>
      </c>
      <c r="I21" s="11">
        <f t="shared" si="3"/>
        <v>-1395783900</v>
      </c>
      <c r="J21" s="53">
        <f t="shared" si="4"/>
        <v>0</v>
      </c>
      <c r="K21" s="53">
        <f t="shared" si="5"/>
        <v>-1395783900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924</v>
      </c>
      <c r="H22" s="36">
        <f t="shared" si="2"/>
        <v>1</v>
      </c>
      <c r="I22" s="11">
        <f t="shared" si="3"/>
        <v>2769000000</v>
      </c>
      <c r="J22" s="53">
        <f t="shared" si="4"/>
        <v>0</v>
      </c>
      <c r="K22" s="53">
        <f t="shared" si="5"/>
        <v>2769000000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923</v>
      </c>
      <c r="H23" s="36">
        <f t="shared" si="2"/>
        <v>1</v>
      </c>
      <c r="I23" s="11">
        <f t="shared" si="3"/>
        <v>922000000</v>
      </c>
      <c r="J23" s="53">
        <f t="shared" si="4"/>
        <v>0</v>
      </c>
      <c r="K23" s="53">
        <f t="shared" si="5"/>
        <v>922000000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922</v>
      </c>
      <c r="H24" s="36">
        <f t="shared" si="2"/>
        <v>0</v>
      </c>
      <c r="I24" s="11">
        <f t="shared" si="3"/>
        <v>-2766829800</v>
      </c>
      <c r="J24" s="53">
        <f t="shared" si="4"/>
        <v>0</v>
      </c>
      <c r="K24" s="53">
        <f t="shared" si="5"/>
        <v>-2766829800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907</v>
      </c>
      <c r="H25" s="36">
        <f t="shared" si="2"/>
        <v>1</v>
      </c>
      <c r="I25" s="11">
        <f t="shared" si="3"/>
        <v>1359000000</v>
      </c>
      <c r="J25" s="53">
        <f t="shared" si="4"/>
        <v>0</v>
      </c>
      <c r="K25" s="53">
        <f t="shared" si="5"/>
        <v>1359000000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899</v>
      </c>
      <c r="H26" s="36">
        <f t="shared" si="2"/>
        <v>0</v>
      </c>
      <c r="I26" s="11">
        <f t="shared" si="3"/>
        <v>-147436000</v>
      </c>
      <c r="J26" s="53">
        <f t="shared" si="4"/>
        <v>0</v>
      </c>
      <c r="K26" s="53">
        <f t="shared" si="5"/>
        <v>-147436000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898</v>
      </c>
      <c r="H27" s="36">
        <f t="shared" si="2"/>
        <v>1</v>
      </c>
      <c r="I27" s="11">
        <f t="shared" si="3"/>
        <v>178855521</v>
      </c>
      <c r="J27" s="53">
        <f t="shared" si="4"/>
        <v>96349461</v>
      </c>
      <c r="K27" s="53">
        <f t="shared" si="5"/>
        <v>82506060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896</v>
      </c>
      <c r="H28" s="36">
        <f t="shared" si="2"/>
        <v>0</v>
      </c>
      <c r="I28" s="11">
        <f t="shared" si="3"/>
        <v>-198016000</v>
      </c>
      <c r="J28" s="53">
        <f t="shared" si="4"/>
        <v>-198016000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896</v>
      </c>
      <c r="H29" s="36">
        <f t="shared" si="2"/>
        <v>0</v>
      </c>
      <c r="I29" s="11">
        <f t="shared" si="3"/>
        <v>-448448000</v>
      </c>
      <c r="J29" s="53">
        <f t="shared" si="4"/>
        <v>0</v>
      </c>
      <c r="K29" s="53">
        <f t="shared" si="5"/>
        <v>-448448000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896</v>
      </c>
      <c r="H30" s="36">
        <f t="shared" si="2"/>
        <v>0</v>
      </c>
      <c r="I30" s="11">
        <f t="shared" si="3"/>
        <v>-13440000000</v>
      </c>
      <c r="J30" s="53">
        <f t="shared" si="4"/>
        <v>-13440000000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879</v>
      </c>
      <c r="H31" s="36">
        <f t="shared" si="2"/>
        <v>0</v>
      </c>
      <c r="I31" s="11">
        <f t="shared" si="3"/>
        <v>-2646581100</v>
      </c>
      <c r="J31" s="53">
        <f t="shared" si="4"/>
        <v>0</v>
      </c>
      <c r="K31" s="53">
        <f t="shared" si="5"/>
        <v>-2646581100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877</v>
      </c>
      <c r="H32" s="36">
        <f t="shared" si="2"/>
        <v>0</v>
      </c>
      <c r="I32" s="11">
        <f t="shared" si="3"/>
        <v>-2636174300</v>
      </c>
      <c r="J32" s="53">
        <f t="shared" si="4"/>
        <v>0</v>
      </c>
      <c r="K32" s="53">
        <f t="shared" si="5"/>
        <v>-2636174300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876</v>
      </c>
      <c r="H33" s="36">
        <f t="shared" si="2"/>
        <v>0</v>
      </c>
      <c r="I33" s="11">
        <f t="shared" si="3"/>
        <v>-784458000</v>
      </c>
      <c r="J33" s="53">
        <f t="shared" si="4"/>
        <v>0</v>
      </c>
      <c r="K33" s="53">
        <f t="shared" si="5"/>
        <v>-784458000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876</v>
      </c>
      <c r="H34" s="36">
        <f t="shared" si="2"/>
        <v>0</v>
      </c>
      <c r="I34" s="11">
        <f t="shared" si="3"/>
        <v>0</v>
      </c>
      <c r="J34" s="53">
        <f t="shared" si="4"/>
        <v>876000000</v>
      </c>
      <c r="K34" s="53">
        <f t="shared" si="5"/>
        <v>-876000000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867</v>
      </c>
      <c r="H35" s="36">
        <f t="shared" si="2"/>
        <v>1</v>
      </c>
      <c r="I35" s="11">
        <f t="shared" si="3"/>
        <v>45440752</v>
      </c>
      <c r="J35" s="53">
        <f t="shared" si="4"/>
        <v>-18760158</v>
      </c>
      <c r="K35" s="53">
        <f t="shared" si="5"/>
        <v>64200910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867</v>
      </c>
      <c r="H36" s="36">
        <f t="shared" si="2"/>
        <v>0</v>
      </c>
      <c r="I36" s="11">
        <f t="shared" si="3"/>
        <v>0</v>
      </c>
      <c r="J36" s="53">
        <f t="shared" si="4"/>
        <v>18781821</v>
      </c>
      <c r="K36" s="53">
        <f t="shared" si="5"/>
        <v>-18781821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857</v>
      </c>
      <c r="H37" s="36">
        <f t="shared" si="2"/>
        <v>0</v>
      </c>
      <c r="I37" s="11">
        <f t="shared" si="3"/>
        <v>-47135000</v>
      </c>
      <c r="J37" s="53">
        <f t="shared" si="4"/>
        <v>0</v>
      </c>
      <c r="K37" s="53">
        <f t="shared" si="5"/>
        <v>-47135000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856</v>
      </c>
      <c r="H38" s="36">
        <f t="shared" si="2"/>
        <v>1</v>
      </c>
      <c r="I38" s="11">
        <f t="shared" si="3"/>
        <v>2565000000</v>
      </c>
      <c r="J38" s="53">
        <f t="shared" si="4"/>
        <v>2565000000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855</v>
      </c>
      <c r="H39" s="36">
        <f t="shared" si="2"/>
        <v>1</v>
      </c>
      <c r="I39" s="11">
        <f t="shared" si="3"/>
        <v>2135000000</v>
      </c>
      <c r="J39" s="53">
        <f t="shared" si="4"/>
        <v>2135000000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855</v>
      </c>
      <c r="H40" s="36">
        <f t="shared" si="2"/>
        <v>0</v>
      </c>
      <c r="I40" s="11">
        <f t="shared" si="3"/>
        <v>-42750000</v>
      </c>
      <c r="J40" s="53">
        <f t="shared" si="4"/>
        <v>0</v>
      </c>
      <c r="K40" s="53">
        <f t="shared" si="5"/>
        <v>-42750000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855</v>
      </c>
      <c r="H41" s="36">
        <f t="shared" si="2"/>
        <v>1</v>
      </c>
      <c r="I41" s="11">
        <f t="shared" si="3"/>
        <v>2562000000</v>
      </c>
      <c r="J41" s="53">
        <f t="shared" si="4"/>
        <v>0</v>
      </c>
      <c r="K41" s="53">
        <f t="shared" si="5"/>
        <v>2562000000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852</v>
      </c>
      <c r="H42" s="36">
        <f t="shared" si="2"/>
        <v>0</v>
      </c>
      <c r="I42" s="11">
        <f t="shared" si="3"/>
        <v>-75998400</v>
      </c>
      <c r="J42" s="53">
        <f t="shared" si="4"/>
        <v>0</v>
      </c>
      <c r="K42" s="53">
        <f t="shared" si="5"/>
        <v>-75998400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848</v>
      </c>
      <c r="H43" s="36">
        <f t="shared" si="2"/>
        <v>0</v>
      </c>
      <c r="I43" s="11">
        <f t="shared" si="3"/>
        <v>-169600000</v>
      </c>
      <c r="J43" s="53">
        <f t="shared" si="4"/>
        <v>0</v>
      </c>
      <c r="K43" s="53">
        <f t="shared" si="5"/>
        <v>-169600000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846</v>
      </c>
      <c r="H44" s="36">
        <f t="shared" si="2"/>
        <v>0</v>
      </c>
      <c r="I44" s="11">
        <f t="shared" si="3"/>
        <v>-169200000</v>
      </c>
      <c r="J44" s="53">
        <f t="shared" si="4"/>
        <v>0</v>
      </c>
      <c r="K44" s="53">
        <f t="shared" si="5"/>
        <v>-169200000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846</v>
      </c>
      <c r="H45" s="36">
        <f t="shared" si="2"/>
        <v>0</v>
      </c>
      <c r="I45" s="11">
        <f t="shared" si="3"/>
        <v>-473760000</v>
      </c>
      <c r="J45" s="53">
        <f t="shared" si="4"/>
        <v>0</v>
      </c>
      <c r="K45" s="53">
        <f t="shared" si="5"/>
        <v>-473760000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842</v>
      </c>
      <c r="H46" s="36">
        <f t="shared" si="2"/>
        <v>0</v>
      </c>
      <c r="I46" s="11">
        <f t="shared" si="3"/>
        <v>-594031000</v>
      </c>
      <c r="J46" s="53">
        <f t="shared" si="4"/>
        <v>0</v>
      </c>
      <c r="K46" s="53">
        <f t="shared" si="5"/>
        <v>-594031000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836</v>
      </c>
      <c r="H47" s="36">
        <f t="shared" si="2"/>
        <v>1</v>
      </c>
      <c r="I47" s="11">
        <f t="shared" si="3"/>
        <v>34405340</v>
      </c>
      <c r="J47" s="53">
        <f t="shared" si="4"/>
        <v>5605355</v>
      </c>
      <c r="K47" s="53">
        <f t="shared" si="5"/>
        <v>28799985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836</v>
      </c>
      <c r="H48" s="36">
        <f t="shared" si="2"/>
        <v>1</v>
      </c>
      <c r="I48" s="11">
        <f t="shared" si="3"/>
        <v>1423424500</v>
      </c>
      <c r="J48" s="53">
        <f t="shared" si="4"/>
        <v>0</v>
      </c>
      <c r="K48" s="53">
        <f t="shared" si="5"/>
        <v>1423424500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827</v>
      </c>
      <c r="H49" s="36">
        <f t="shared" si="2"/>
        <v>0</v>
      </c>
      <c r="I49" s="11">
        <f t="shared" si="3"/>
        <v>-128185000</v>
      </c>
      <c r="J49" s="53">
        <f t="shared" si="4"/>
        <v>0</v>
      </c>
      <c r="K49" s="53">
        <f t="shared" si="5"/>
        <v>-128185000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827</v>
      </c>
      <c r="H50" s="36">
        <f t="shared" si="2"/>
        <v>0</v>
      </c>
      <c r="I50" s="11">
        <f t="shared" si="3"/>
        <v>-114126000</v>
      </c>
      <c r="J50" s="53">
        <f t="shared" si="4"/>
        <v>0</v>
      </c>
      <c r="K50" s="53">
        <f t="shared" si="5"/>
        <v>-114126000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827</v>
      </c>
      <c r="H51" s="36">
        <f t="shared" si="2"/>
        <v>0</v>
      </c>
      <c r="I51" s="11">
        <f t="shared" si="3"/>
        <v>-611980000</v>
      </c>
      <c r="J51" s="53">
        <f t="shared" si="4"/>
        <v>0</v>
      </c>
      <c r="K51" s="53">
        <f t="shared" si="5"/>
        <v>-611980000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827</v>
      </c>
      <c r="H52" s="36">
        <f t="shared" si="2"/>
        <v>0</v>
      </c>
      <c r="I52" s="11">
        <f t="shared" si="3"/>
        <v>-165400000</v>
      </c>
      <c r="J52" s="53">
        <f t="shared" si="4"/>
        <v>0</v>
      </c>
      <c r="K52" s="53">
        <f t="shared" si="5"/>
        <v>-165400000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826</v>
      </c>
      <c r="H53" s="36">
        <f t="shared" si="2"/>
        <v>0</v>
      </c>
      <c r="I53" s="11">
        <f t="shared" si="3"/>
        <v>-871430000</v>
      </c>
      <c r="J53" s="53">
        <f t="shared" si="4"/>
        <v>0</v>
      </c>
      <c r="K53" s="53">
        <f t="shared" si="5"/>
        <v>-871430000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826</v>
      </c>
      <c r="H54" s="36">
        <f t="shared" si="2"/>
        <v>0</v>
      </c>
      <c r="I54" s="11">
        <f t="shared" si="3"/>
        <v>-165200000</v>
      </c>
      <c r="J54" s="53">
        <f t="shared" si="4"/>
        <v>0</v>
      </c>
      <c r="K54" s="53">
        <f t="shared" si="5"/>
        <v>-165200000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826</v>
      </c>
      <c r="H55" s="36">
        <f t="shared" si="2"/>
        <v>0</v>
      </c>
      <c r="I55" s="11">
        <f t="shared" si="3"/>
        <v>-826413000</v>
      </c>
      <c r="J55" s="53">
        <f t="shared" si="4"/>
        <v>0</v>
      </c>
      <c r="K55" s="53">
        <f t="shared" si="5"/>
        <v>-826413000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826</v>
      </c>
      <c r="H56" s="36">
        <f t="shared" si="2"/>
        <v>0</v>
      </c>
      <c r="I56" s="11">
        <f t="shared" si="3"/>
        <v>-31388000</v>
      </c>
      <c r="J56" s="53">
        <f t="shared" si="4"/>
        <v>0</v>
      </c>
      <c r="K56" s="53">
        <f t="shared" si="5"/>
        <v>-31388000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826</v>
      </c>
      <c r="H57" s="36">
        <f t="shared" si="2"/>
        <v>0</v>
      </c>
      <c r="I57" s="11">
        <f t="shared" si="3"/>
        <v>-86730000</v>
      </c>
      <c r="J57" s="53">
        <f t="shared" si="4"/>
        <v>0</v>
      </c>
      <c r="K57" s="53">
        <f t="shared" si="5"/>
        <v>-86730000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826</v>
      </c>
      <c r="H58" s="36">
        <f t="shared" si="2"/>
        <v>0</v>
      </c>
      <c r="I58" s="11">
        <f t="shared" si="3"/>
        <v>-49560000</v>
      </c>
      <c r="J58" s="53">
        <f t="shared" si="4"/>
        <v>0</v>
      </c>
      <c r="K58" s="53">
        <f t="shared" si="5"/>
        <v>-49560000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823</v>
      </c>
      <c r="H59" s="36">
        <f t="shared" si="2"/>
        <v>1</v>
      </c>
      <c r="I59" s="11">
        <f t="shared" si="3"/>
        <v>822000000</v>
      </c>
      <c r="J59" s="53">
        <f t="shared" si="4"/>
        <v>822000000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822</v>
      </c>
      <c r="H60" s="36">
        <f t="shared" si="2"/>
        <v>1</v>
      </c>
      <c r="I60" s="11">
        <f t="shared" si="3"/>
        <v>2873500000</v>
      </c>
      <c r="J60" s="53">
        <f t="shared" si="4"/>
        <v>2873500000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820</v>
      </c>
      <c r="H61" s="36">
        <f t="shared" si="2"/>
        <v>1</v>
      </c>
      <c r="I61" s="11">
        <f t="shared" si="3"/>
        <v>819000000</v>
      </c>
      <c r="J61" s="53">
        <f t="shared" si="4"/>
        <v>819000000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820</v>
      </c>
      <c r="H62" s="36">
        <f t="shared" si="2"/>
        <v>1</v>
      </c>
      <c r="I62" s="11">
        <f t="shared" si="3"/>
        <v>2457000000</v>
      </c>
      <c r="J62" s="53">
        <f t="shared" si="4"/>
        <v>2457000000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818</v>
      </c>
      <c r="H63" s="36">
        <f t="shared" si="2"/>
        <v>0</v>
      </c>
      <c r="I63" s="11">
        <f t="shared" si="3"/>
        <v>-163600000</v>
      </c>
      <c r="J63" s="53">
        <f t="shared" si="4"/>
        <v>0</v>
      </c>
      <c r="K63" s="53">
        <f t="shared" si="5"/>
        <v>-163600000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813</v>
      </c>
      <c r="H64" s="36">
        <f t="shared" si="2"/>
        <v>0</v>
      </c>
      <c r="I64" s="11">
        <f t="shared" si="3"/>
        <v>-40650000</v>
      </c>
      <c r="J64" s="53">
        <f t="shared" si="4"/>
        <v>0</v>
      </c>
      <c r="K64" s="53">
        <f t="shared" si="5"/>
        <v>-40650000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809</v>
      </c>
      <c r="H65" s="36">
        <f t="shared" si="2"/>
        <v>0</v>
      </c>
      <c r="I65" s="11">
        <f t="shared" si="3"/>
        <v>-161800000</v>
      </c>
      <c r="J65" s="53">
        <f t="shared" si="4"/>
        <v>0</v>
      </c>
      <c r="K65" s="53">
        <f t="shared" si="5"/>
        <v>-161800000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806</v>
      </c>
      <c r="H66" s="36">
        <f t="shared" si="2"/>
        <v>0</v>
      </c>
      <c r="I66" s="11">
        <f t="shared" si="3"/>
        <v>-137020000</v>
      </c>
      <c r="J66" s="53">
        <f t="shared" si="4"/>
        <v>0</v>
      </c>
      <c r="K66" s="53">
        <f t="shared" si="5"/>
        <v>-137020000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805</v>
      </c>
      <c r="H67" s="36">
        <f t="shared" ref="H67:H131" si="8">IF(B67&gt;0,1,0)</f>
        <v>1</v>
      </c>
      <c r="I67" s="11">
        <f t="shared" ref="I67:I119" si="9">B67*(G67-H67)</f>
        <v>73425300</v>
      </c>
      <c r="J67" s="53">
        <f t="shared" ref="J67:J131" si="10">C67*(G67-H67)</f>
        <v>52841292</v>
      </c>
      <c r="K67" s="53">
        <f t="shared" ref="K67:K131" si="11">D67*(G67-H67)</f>
        <v>20584008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787</v>
      </c>
      <c r="H68" s="36">
        <f t="shared" si="8"/>
        <v>0</v>
      </c>
      <c r="I68" s="11">
        <f t="shared" si="9"/>
        <v>-114115000</v>
      </c>
      <c r="J68" s="53">
        <f t="shared" si="10"/>
        <v>0</v>
      </c>
      <c r="K68" s="53">
        <f t="shared" si="11"/>
        <v>-114115000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780</v>
      </c>
      <c r="H69" s="36">
        <f t="shared" si="8"/>
        <v>1</v>
      </c>
      <c r="I69" s="11">
        <f t="shared" si="9"/>
        <v>763420000</v>
      </c>
      <c r="J69" s="53">
        <f t="shared" si="10"/>
        <v>0</v>
      </c>
      <c r="K69" s="53">
        <f t="shared" si="11"/>
        <v>763420000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777</v>
      </c>
      <c r="H70" s="36">
        <f t="shared" si="8"/>
        <v>0</v>
      </c>
      <c r="I70" s="11">
        <f t="shared" si="9"/>
        <v>-35742000</v>
      </c>
      <c r="J70" s="53">
        <f t="shared" si="10"/>
        <v>0</v>
      </c>
      <c r="K70" s="53">
        <f t="shared" si="11"/>
        <v>-35742000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775</v>
      </c>
      <c r="H71" s="36">
        <f t="shared" si="8"/>
        <v>1</v>
      </c>
      <c r="I71" s="11">
        <f t="shared" si="9"/>
        <v>89271612</v>
      </c>
      <c r="J71" s="53">
        <f t="shared" si="10"/>
        <v>80350488</v>
      </c>
      <c r="K71" s="53">
        <f t="shared" si="11"/>
        <v>8921124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774</v>
      </c>
      <c r="H72" s="36">
        <f t="shared" si="8"/>
        <v>0</v>
      </c>
      <c r="I72" s="11">
        <f t="shared" si="9"/>
        <v>-117624006</v>
      </c>
      <c r="J72" s="53">
        <f t="shared" si="10"/>
        <v>0</v>
      </c>
      <c r="K72" s="53">
        <f t="shared" si="11"/>
        <v>-117624006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773</v>
      </c>
      <c r="H73" s="36">
        <f t="shared" si="8"/>
        <v>0</v>
      </c>
      <c r="I73" s="11">
        <f t="shared" si="9"/>
        <v>-622651500</v>
      </c>
      <c r="J73" s="53">
        <f t="shared" si="10"/>
        <v>0</v>
      </c>
      <c r="K73" s="53">
        <f t="shared" si="11"/>
        <v>-622651500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766</v>
      </c>
      <c r="H74" s="36">
        <f t="shared" si="8"/>
        <v>1</v>
      </c>
      <c r="I74" s="11">
        <f t="shared" si="9"/>
        <v>5351175000</v>
      </c>
      <c r="J74" s="53">
        <f t="shared" si="10"/>
        <v>0</v>
      </c>
      <c r="K74" s="53">
        <f t="shared" si="11"/>
        <v>5351175000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765</v>
      </c>
      <c r="H75" s="36">
        <f t="shared" si="8"/>
        <v>1</v>
      </c>
      <c r="I75" s="11">
        <f t="shared" si="9"/>
        <v>2292000000</v>
      </c>
      <c r="J75" s="53">
        <f t="shared" si="10"/>
        <v>0</v>
      </c>
      <c r="K75" s="53">
        <f t="shared" si="11"/>
        <v>2292000000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763</v>
      </c>
      <c r="H76" s="36">
        <f t="shared" si="8"/>
        <v>1</v>
      </c>
      <c r="I76" s="11">
        <f t="shared" si="9"/>
        <v>2286000000</v>
      </c>
      <c r="J76" s="53">
        <f t="shared" si="10"/>
        <v>0</v>
      </c>
      <c r="K76" s="53">
        <f t="shared" si="11"/>
        <v>2286000000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762</v>
      </c>
      <c r="H77" s="36">
        <f t="shared" si="8"/>
        <v>1</v>
      </c>
      <c r="I77" s="11">
        <f t="shared" si="9"/>
        <v>2283000000</v>
      </c>
      <c r="J77" s="53">
        <f t="shared" si="10"/>
        <v>0</v>
      </c>
      <c r="K77" s="53">
        <f t="shared" si="11"/>
        <v>2283000000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761</v>
      </c>
      <c r="H78" s="36">
        <f t="shared" si="8"/>
        <v>0</v>
      </c>
      <c r="I78" s="11">
        <f t="shared" si="9"/>
        <v>-2435200000</v>
      </c>
      <c r="J78" s="53">
        <f t="shared" si="10"/>
        <v>-2435200000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760</v>
      </c>
      <c r="H79" s="36">
        <f t="shared" si="8"/>
        <v>0</v>
      </c>
      <c r="I79" s="11">
        <f t="shared" si="9"/>
        <v>-608000000</v>
      </c>
      <c r="J79" s="53">
        <f t="shared" si="10"/>
        <v>-608000000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759</v>
      </c>
      <c r="H80" s="36">
        <f t="shared" si="8"/>
        <v>0</v>
      </c>
      <c r="I80" s="11">
        <f t="shared" si="9"/>
        <v>-36730287</v>
      </c>
      <c r="J80" s="53">
        <f t="shared" si="10"/>
        <v>0</v>
      </c>
      <c r="K80" s="53">
        <f t="shared" si="11"/>
        <v>-36730287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758</v>
      </c>
      <c r="H81" s="36">
        <f t="shared" si="8"/>
        <v>0</v>
      </c>
      <c r="I81" s="11">
        <f t="shared" si="9"/>
        <v>-106120000</v>
      </c>
      <c r="J81" s="53">
        <f t="shared" si="10"/>
        <v>0</v>
      </c>
      <c r="K81" s="53">
        <f t="shared" si="11"/>
        <v>-106120000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757</v>
      </c>
      <c r="H82" s="36">
        <f t="shared" si="8"/>
        <v>0</v>
      </c>
      <c r="I82" s="11">
        <f t="shared" si="9"/>
        <v>-189250000</v>
      </c>
      <c r="J82" s="53">
        <f t="shared" si="10"/>
        <v>0</v>
      </c>
      <c r="K82" s="53">
        <f t="shared" si="11"/>
        <v>-189250000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756</v>
      </c>
      <c r="H83" s="36">
        <f t="shared" si="8"/>
        <v>0</v>
      </c>
      <c r="I83" s="11">
        <f t="shared" si="9"/>
        <v>-151200000</v>
      </c>
      <c r="J83" s="53">
        <f t="shared" si="10"/>
        <v>0</v>
      </c>
      <c r="K83" s="53">
        <f t="shared" si="11"/>
        <v>-151200000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753</v>
      </c>
      <c r="H84" s="36">
        <f t="shared" si="8"/>
        <v>1</v>
      </c>
      <c r="I84" s="11">
        <f t="shared" si="9"/>
        <v>1229670400</v>
      </c>
      <c r="J84" s="53">
        <f t="shared" si="10"/>
        <v>0</v>
      </c>
      <c r="K84" s="53">
        <f t="shared" si="11"/>
        <v>1229670400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749</v>
      </c>
      <c r="H85" s="36">
        <f t="shared" si="8"/>
        <v>1</v>
      </c>
      <c r="I85" s="11">
        <f t="shared" si="9"/>
        <v>1870000000</v>
      </c>
      <c r="J85" s="53">
        <f t="shared" si="10"/>
        <v>0</v>
      </c>
      <c r="K85" s="53">
        <f t="shared" si="11"/>
        <v>1870000000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745</v>
      </c>
      <c r="H86" s="36">
        <f t="shared" si="8"/>
        <v>1</v>
      </c>
      <c r="I86" s="11">
        <f t="shared" si="9"/>
        <v>138607200</v>
      </c>
      <c r="J86" s="53">
        <f t="shared" si="10"/>
        <v>63202800</v>
      </c>
      <c r="K86" s="53">
        <f t="shared" si="11"/>
        <v>75404400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742</v>
      </c>
      <c r="H87" s="36">
        <f t="shared" si="8"/>
        <v>0</v>
      </c>
      <c r="I87" s="11">
        <f t="shared" si="9"/>
        <v>-148400000</v>
      </c>
      <c r="J87" s="53">
        <f t="shared" si="10"/>
        <v>0</v>
      </c>
      <c r="K87" s="53">
        <f t="shared" si="11"/>
        <v>-148400000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741</v>
      </c>
      <c r="H88" s="36">
        <f t="shared" si="8"/>
        <v>0</v>
      </c>
      <c r="I88" s="11">
        <f t="shared" si="9"/>
        <v>-87438000</v>
      </c>
      <c r="J88" s="53">
        <f t="shared" si="10"/>
        <v>-51129000</v>
      </c>
      <c r="K88" s="53">
        <f t="shared" si="11"/>
        <v>-36309000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733</v>
      </c>
      <c r="H89" s="36">
        <f t="shared" si="8"/>
        <v>0</v>
      </c>
      <c r="I89" s="11">
        <f t="shared" si="9"/>
        <v>-2346259700</v>
      </c>
      <c r="J89" s="53">
        <f t="shared" si="10"/>
        <v>0</v>
      </c>
      <c r="K89" s="53">
        <f t="shared" si="11"/>
        <v>-2346259700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732</v>
      </c>
      <c r="H90" s="36">
        <f t="shared" si="8"/>
        <v>0</v>
      </c>
      <c r="I90" s="11">
        <f t="shared" si="9"/>
        <v>-2343058800</v>
      </c>
      <c r="J90" s="53">
        <f t="shared" si="10"/>
        <v>0</v>
      </c>
      <c r="K90" s="53">
        <f t="shared" si="11"/>
        <v>-2343058800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731</v>
      </c>
      <c r="H91" s="36">
        <f t="shared" si="8"/>
        <v>0</v>
      </c>
      <c r="I91" s="11">
        <f t="shared" si="9"/>
        <v>-2339857900</v>
      </c>
      <c r="J91" s="53">
        <f t="shared" si="10"/>
        <v>0</v>
      </c>
      <c r="K91" s="53">
        <f t="shared" si="11"/>
        <v>-2339857900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730</v>
      </c>
      <c r="H92" s="36">
        <f t="shared" si="8"/>
        <v>0</v>
      </c>
      <c r="I92" s="11">
        <f t="shared" si="9"/>
        <v>-2336657000</v>
      </c>
      <c r="J92" s="53">
        <f t="shared" si="10"/>
        <v>0</v>
      </c>
      <c r="K92" s="53">
        <f t="shared" si="11"/>
        <v>-2336657000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729</v>
      </c>
      <c r="H93" s="36">
        <f t="shared" si="8"/>
        <v>0</v>
      </c>
      <c r="I93" s="11">
        <f t="shared" si="9"/>
        <v>-2333456100</v>
      </c>
      <c r="J93" s="53">
        <f t="shared" si="10"/>
        <v>0</v>
      </c>
      <c r="K93" s="53">
        <f t="shared" si="11"/>
        <v>-2333456100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728</v>
      </c>
      <c r="H94" s="36">
        <f t="shared" si="8"/>
        <v>0</v>
      </c>
      <c r="I94" s="11">
        <f t="shared" si="9"/>
        <v>-2330255200</v>
      </c>
      <c r="J94" s="53">
        <f t="shared" si="10"/>
        <v>0</v>
      </c>
      <c r="K94" s="53">
        <f t="shared" si="11"/>
        <v>-2330255200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726</v>
      </c>
      <c r="H95" s="36">
        <f t="shared" si="8"/>
        <v>0</v>
      </c>
      <c r="I95" s="11">
        <f t="shared" si="9"/>
        <v>-868728696</v>
      </c>
      <c r="J95" s="53">
        <f t="shared" si="10"/>
        <v>0</v>
      </c>
      <c r="K95" s="53">
        <f t="shared" si="11"/>
        <v>-868728696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716</v>
      </c>
      <c r="H96" s="36">
        <f t="shared" si="8"/>
        <v>0</v>
      </c>
      <c r="I96" s="11">
        <f t="shared" si="9"/>
        <v>-143200000</v>
      </c>
      <c r="J96" s="53">
        <f t="shared" si="10"/>
        <v>0</v>
      </c>
      <c r="K96" s="53">
        <f t="shared" si="11"/>
        <v>-143200000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715</v>
      </c>
      <c r="H97" s="36">
        <f t="shared" si="8"/>
        <v>1</v>
      </c>
      <c r="I97" s="11">
        <f t="shared" si="9"/>
        <v>113924412</v>
      </c>
      <c r="J97" s="53">
        <f t="shared" si="10"/>
        <v>49213164</v>
      </c>
      <c r="K97" s="53">
        <f t="shared" si="11"/>
        <v>64711248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710</v>
      </c>
      <c r="H98" s="36">
        <f t="shared" si="8"/>
        <v>1</v>
      </c>
      <c r="I98" s="11">
        <f t="shared" si="9"/>
        <v>81086912</v>
      </c>
      <c r="J98" s="53">
        <f t="shared" si="10"/>
        <v>0</v>
      </c>
      <c r="K98" s="53">
        <f t="shared" si="11"/>
        <v>81086912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707</v>
      </c>
      <c r="H99" s="36">
        <f t="shared" si="8"/>
        <v>0</v>
      </c>
      <c r="I99" s="11">
        <f t="shared" si="9"/>
        <v>-936775000</v>
      </c>
      <c r="J99" s="53">
        <f t="shared" si="10"/>
        <v>0</v>
      </c>
      <c r="K99" s="53">
        <f t="shared" si="11"/>
        <v>-936775000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702</v>
      </c>
      <c r="H100" s="36">
        <f t="shared" si="8"/>
        <v>1</v>
      </c>
      <c r="I100" s="11">
        <f t="shared" si="9"/>
        <v>928825000</v>
      </c>
      <c r="J100" s="53">
        <f t="shared" si="10"/>
        <v>0</v>
      </c>
      <c r="K100" s="53">
        <f t="shared" si="11"/>
        <v>928825000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685</v>
      </c>
      <c r="H101" s="36">
        <f t="shared" si="8"/>
        <v>1</v>
      </c>
      <c r="I101" s="11">
        <f t="shared" si="9"/>
        <v>45721980</v>
      </c>
      <c r="J101" s="53">
        <f t="shared" si="10"/>
        <v>45721980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682</v>
      </c>
      <c r="H102" s="36">
        <f t="shared" si="8"/>
        <v>1</v>
      </c>
      <c r="I102" s="11">
        <f t="shared" si="9"/>
        <v>2043000000</v>
      </c>
      <c r="J102" s="53">
        <f t="shared" si="10"/>
        <v>0</v>
      </c>
      <c r="K102" s="53">
        <f t="shared" si="11"/>
        <v>2043000000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675</v>
      </c>
      <c r="H103" s="36">
        <f t="shared" si="8"/>
        <v>0</v>
      </c>
      <c r="I103" s="11">
        <f t="shared" si="9"/>
        <v>-675000000</v>
      </c>
      <c r="J103" s="53">
        <f t="shared" si="10"/>
        <v>-675000000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665</v>
      </c>
      <c r="H104" s="36">
        <f t="shared" si="8"/>
        <v>1</v>
      </c>
      <c r="I104" s="11">
        <f t="shared" si="9"/>
        <v>1992000000</v>
      </c>
      <c r="J104" s="53">
        <f t="shared" si="10"/>
        <v>1992000000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664</v>
      </c>
      <c r="H105" s="36">
        <f t="shared" si="8"/>
        <v>1</v>
      </c>
      <c r="I105" s="11">
        <f t="shared" si="9"/>
        <v>742560000</v>
      </c>
      <c r="J105" s="53">
        <f t="shared" si="10"/>
        <v>742560000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664</v>
      </c>
      <c r="H106" s="36">
        <f t="shared" si="8"/>
        <v>0</v>
      </c>
      <c r="I106" s="11">
        <f t="shared" si="9"/>
        <v>-1992000000</v>
      </c>
      <c r="J106" s="53">
        <f t="shared" si="10"/>
        <v>0</v>
      </c>
      <c r="K106" s="53">
        <f t="shared" si="11"/>
        <v>-1992000000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655</v>
      </c>
      <c r="H107" s="36">
        <f t="shared" si="8"/>
        <v>1</v>
      </c>
      <c r="I107" s="11">
        <f t="shared" si="9"/>
        <v>59183076</v>
      </c>
      <c r="J107" s="53">
        <f t="shared" si="10"/>
        <v>49125210</v>
      </c>
      <c r="K107" s="53">
        <f t="shared" si="11"/>
        <v>10057866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653</v>
      </c>
      <c r="H108" s="36">
        <f t="shared" si="8"/>
        <v>0</v>
      </c>
      <c r="I108" s="11">
        <f t="shared" si="9"/>
        <v>-1110557100</v>
      </c>
      <c r="J108" s="53">
        <f t="shared" si="10"/>
        <v>0</v>
      </c>
      <c r="K108" s="53">
        <f t="shared" si="11"/>
        <v>-1110557100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649</v>
      </c>
      <c r="H109" s="36">
        <f t="shared" si="8"/>
        <v>0</v>
      </c>
      <c r="I109" s="11">
        <f t="shared" si="9"/>
        <v>-649324500</v>
      </c>
      <c r="J109" s="53">
        <f t="shared" si="10"/>
        <v>0</v>
      </c>
      <c r="K109" s="53">
        <f t="shared" si="11"/>
        <v>-649324500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646</v>
      </c>
      <c r="H110" s="36">
        <f t="shared" si="8"/>
        <v>1</v>
      </c>
      <c r="I110" s="11">
        <f t="shared" si="9"/>
        <v>12900000000</v>
      </c>
      <c r="J110" s="53">
        <f t="shared" si="10"/>
        <v>0</v>
      </c>
      <c r="K110" s="53">
        <f t="shared" si="11"/>
        <v>12900000000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626</v>
      </c>
      <c r="H111" s="36">
        <f t="shared" si="8"/>
        <v>1</v>
      </c>
      <c r="I111" s="11">
        <f t="shared" si="9"/>
        <v>109173750</v>
      </c>
      <c r="J111" s="53">
        <f t="shared" si="10"/>
        <v>54601875</v>
      </c>
      <c r="K111" s="53">
        <f t="shared" si="11"/>
        <v>54571875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610</v>
      </c>
      <c r="H112" s="36">
        <f t="shared" si="8"/>
        <v>0</v>
      </c>
      <c r="I112" s="11">
        <f t="shared" si="9"/>
        <v>-17324000000</v>
      </c>
      <c r="J112" s="53">
        <f t="shared" si="10"/>
        <v>0</v>
      </c>
      <c r="K112" s="53">
        <f t="shared" si="11"/>
        <v>-17324000000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595</v>
      </c>
      <c r="H113" s="36">
        <f t="shared" si="8"/>
        <v>1</v>
      </c>
      <c r="I113" s="11">
        <f t="shared" si="9"/>
        <v>96845760</v>
      </c>
      <c r="J113" s="53">
        <f t="shared" si="10"/>
        <v>72771534</v>
      </c>
      <c r="K113" s="53">
        <f t="shared" si="11"/>
        <v>24074226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595</v>
      </c>
      <c r="H114" s="36">
        <f t="shared" si="8"/>
        <v>0</v>
      </c>
      <c r="I114" s="11">
        <f t="shared" si="9"/>
        <v>-3391500</v>
      </c>
      <c r="J114" s="53">
        <f t="shared" si="10"/>
        <v>-1487500</v>
      </c>
      <c r="K114" s="53">
        <f t="shared" si="11"/>
        <v>-1904000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582</v>
      </c>
      <c r="H115" s="36">
        <f t="shared" si="8"/>
        <v>0</v>
      </c>
      <c r="I115" s="11">
        <f t="shared" si="9"/>
        <v>0</v>
      </c>
      <c r="J115" s="53">
        <f t="shared" si="10"/>
        <v>291000000</v>
      </c>
      <c r="K115" s="53">
        <f t="shared" si="11"/>
        <v>-291000000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574</v>
      </c>
      <c r="H116" s="36">
        <f t="shared" si="8"/>
        <v>0</v>
      </c>
      <c r="I116" s="11">
        <f t="shared" si="9"/>
        <v>-91840000</v>
      </c>
      <c r="J116" s="53">
        <f t="shared" si="10"/>
        <v>0</v>
      </c>
      <c r="K116" s="53">
        <f t="shared" si="11"/>
        <v>-91840000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565</v>
      </c>
      <c r="H117" s="36">
        <f t="shared" si="8"/>
        <v>1</v>
      </c>
      <c r="I117" s="11">
        <f t="shared" si="9"/>
        <v>834720</v>
      </c>
      <c r="J117" s="53">
        <f t="shared" si="10"/>
        <v>60314724</v>
      </c>
      <c r="K117" s="53">
        <f t="shared" si="11"/>
        <v>-59480004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543</v>
      </c>
      <c r="H118" s="36">
        <f t="shared" si="8"/>
        <v>1</v>
      </c>
      <c r="I118" s="11">
        <f t="shared" si="9"/>
        <v>21354529000</v>
      </c>
      <c r="J118" s="53">
        <f t="shared" si="10"/>
        <v>0</v>
      </c>
      <c r="K118" s="53">
        <f t="shared" si="11"/>
        <v>21354529000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534</v>
      </c>
      <c r="H119" s="36">
        <f t="shared" si="8"/>
        <v>1</v>
      </c>
      <c r="I119" s="11">
        <f t="shared" si="9"/>
        <v>50912693</v>
      </c>
      <c r="J119" s="53">
        <f t="shared" si="10"/>
        <v>58658782</v>
      </c>
      <c r="K119" s="53">
        <f t="shared" si="11"/>
        <v>-7746089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530</v>
      </c>
      <c r="H120" s="11">
        <f t="shared" si="8"/>
        <v>1</v>
      </c>
      <c r="I120" s="11">
        <f t="shared" ref="I120:I266" si="13">B120*(G120-H120)</f>
        <v>1058000000</v>
      </c>
      <c r="J120" s="11">
        <f t="shared" si="10"/>
        <v>0</v>
      </c>
      <c r="K120" s="11">
        <f t="shared" si="11"/>
        <v>1058000000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504</v>
      </c>
      <c r="H121" s="11">
        <f t="shared" si="8"/>
        <v>1</v>
      </c>
      <c r="I121" s="11">
        <f t="shared" si="13"/>
        <v>1307800000</v>
      </c>
      <c r="J121" s="11">
        <f t="shared" si="10"/>
        <v>0</v>
      </c>
      <c r="K121" s="11">
        <f t="shared" si="11"/>
        <v>1307800000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503</v>
      </c>
      <c r="H122" s="11">
        <f t="shared" si="8"/>
        <v>1</v>
      </c>
      <c r="I122" s="11">
        <f t="shared" si="13"/>
        <v>193044602</v>
      </c>
      <c r="J122" s="11">
        <f t="shared" si="10"/>
        <v>55675816</v>
      </c>
      <c r="K122" s="11">
        <f t="shared" si="11"/>
        <v>137368786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502</v>
      </c>
      <c r="H123" s="11">
        <f t="shared" si="8"/>
        <v>0</v>
      </c>
      <c r="I123" s="11">
        <f t="shared" si="13"/>
        <v>0</v>
      </c>
      <c r="J123" s="11">
        <f t="shared" si="10"/>
        <v>401600000</v>
      </c>
      <c r="K123" s="11">
        <f t="shared" si="11"/>
        <v>-401600000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488</v>
      </c>
      <c r="H124" s="11">
        <f t="shared" si="8"/>
        <v>0</v>
      </c>
      <c r="I124" s="11">
        <f t="shared" si="13"/>
        <v>-1464000000</v>
      </c>
      <c r="J124" s="11">
        <f t="shared" si="10"/>
        <v>0</v>
      </c>
      <c r="K124" s="11">
        <f t="shared" si="11"/>
        <v>-1464000000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473</v>
      </c>
      <c r="H125" s="11">
        <f t="shared" si="8"/>
        <v>1</v>
      </c>
      <c r="I125" s="11">
        <f t="shared" si="13"/>
        <v>189135120</v>
      </c>
      <c r="J125" s="11">
        <f t="shared" si="10"/>
        <v>56109000</v>
      </c>
      <c r="K125" s="11">
        <f t="shared" si="11"/>
        <v>133026120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473</v>
      </c>
      <c r="H126" s="11">
        <f t="shared" si="8"/>
        <v>1</v>
      </c>
      <c r="I126" s="11">
        <f t="shared" si="13"/>
        <v>19824000000</v>
      </c>
      <c r="J126" s="11">
        <f t="shared" si="10"/>
        <v>0</v>
      </c>
      <c r="K126" s="11">
        <f t="shared" si="11"/>
        <v>19824000000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448</v>
      </c>
      <c r="H127" s="11">
        <f t="shared" si="8"/>
        <v>0</v>
      </c>
      <c r="I127" s="11">
        <f t="shared" si="13"/>
        <v>-2240000</v>
      </c>
      <c r="J127" s="11">
        <f t="shared" si="10"/>
        <v>0</v>
      </c>
      <c r="K127" s="11">
        <f t="shared" si="11"/>
        <v>-2240000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442</v>
      </c>
      <c r="H128" s="11">
        <f t="shared" si="8"/>
        <v>1</v>
      </c>
      <c r="I128" s="11">
        <f t="shared" si="13"/>
        <v>340175934</v>
      </c>
      <c r="J128" s="11">
        <f t="shared" si="10"/>
        <v>53227377</v>
      </c>
      <c r="K128" s="11">
        <f t="shared" si="11"/>
        <v>286948557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439</v>
      </c>
      <c r="H129" s="11">
        <f t="shared" si="8"/>
        <v>1</v>
      </c>
      <c r="I129" s="11">
        <f t="shared" si="13"/>
        <v>1095000000</v>
      </c>
      <c r="J129" s="11">
        <f t="shared" si="10"/>
        <v>0</v>
      </c>
      <c r="K129" s="11">
        <f t="shared" si="11"/>
        <v>1095000000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425</v>
      </c>
      <c r="H130" s="11">
        <f t="shared" si="8"/>
        <v>0</v>
      </c>
      <c r="I130" s="11">
        <f t="shared" si="13"/>
        <v>-425000000</v>
      </c>
      <c r="J130" s="11">
        <f t="shared" si="10"/>
        <v>-425000000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420</v>
      </c>
      <c r="H131" s="11">
        <f t="shared" si="8"/>
        <v>0</v>
      </c>
      <c r="I131" s="11">
        <f t="shared" si="13"/>
        <v>-21000000000</v>
      </c>
      <c r="J131" s="11">
        <f t="shared" si="10"/>
        <v>0</v>
      </c>
      <c r="K131" s="11">
        <f t="shared" si="11"/>
        <v>-21000000000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412</v>
      </c>
      <c r="H132" s="11">
        <f t="shared" ref="H132:H266" si="15">IF(B132&gt;0,1,0)</f>
        <v>1</v>
      </c>
      <c r="I132" s="11">
        <f t="shared" si="13"/>
        <v>252471957</v>
      </c>
      <c r="J132" s="11">
        <f t="shared" ref="J132:J206" si="16">C132*(G132-H132)</f>
        <v>43554081</v>
      </c>
      <c r="K132" s="11">
        <f t="shared" ref="K132:K266" si="17">D132*(G132-H132)</f>
        <v>208917876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408</v>
      </c>
      <c r="H133" s="11">
        <f t="shared" si="15"/>
        <v>0</v>
      </c>
      <c r="I133" s="11">
        <f t="shared" si="13"/>
        <v>-493965600</v>
      </c>
      <c r="J133" s="11">
        <f t="shared" si="16"/>
        <v>0</v>
      </c>
      <c r="K133" s="11">
        <f t="shared" si="17"/>
        <v>-493965600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399</v>
      </c>
      <c r="H134" s="11">
        <f t="shared" si="15"/>
        <v>0</v>
      </c>
      <c r="I134" s="11">
        <f t="shared" si="13"/>
        <v>-25935000</v>
      </c>
      <c r="J134" s="11">
        <f t="shared" si="16"/>
        <v>0</v>
      </c>
      <c r="K134" s="11">
        <f t="shared" si="17"/>
        <v>-25935000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399</v>
      </c>
      <c r="H135" s="11">
        <f t="shared" si="15"/>
        <v>0</v>
      </c>
      <c r="I135" s="11">
        <f t="shared" si="13"/>
        <v>-12887700</v>
      </c>
      <c r="J135" s="11">
        <f t="shared" si="16"/>
        <v>0</v>
      </c>
      <c r="K135" s="11">
        <f t="shared" si="17"/>
        <v>-12887700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391</v>
      </c>
      <c r="H136" s="11">
        <f t="shared" si="15"/>
        <v>0</v>
      </c>
      <c r="I136" s="11">
        <f t="shared" si="13"/>
        <v>-391000000</v>
      </c>
      <c r="J136" s="11">
        <f t="shared" si="16"/>
        <v>-391000000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382</v>
      </c>
      <c r="H137" s="11">
        <f t="shared" si="15"/>
        <v>1</v>
      </c>
      <c r="I137" s="11">
        <f t="shared" si="13"/>
        <v>110822613</v>
      </c>
      <c r="J137" s="11">
        <f t="shared" si="16"/>
        <v>37093779</v>
      </c>
      <c r="K137" s="11">
        <f t="shared" si="17"/>
        <v>73728834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365</v>
      </c>
      <c r="H138" s="11">
        <f t="shared" si="15"/>
        <v>0</v>
      </c>
      <c r="I138" s="11">
        <f t="shared" si="13"/>
        <v>-365182500</v>
      </c>
      <c r="J138" s="11">
        <f t="shared" si="16"/>
        <v>-365182500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353</v>
      </c>
      <c r="H139" s="11">
        <f t="shared" si="15"/>
        <v>1</v>
      </c>
      <c r="I139" s="11">
        <f t="shared" si="13"/>
        <v>99348480</v>
      </c>
      <c r="J139" s="11">
        <f t="shared" si="16"/>
        <v>31260064</v>
      </c>
      <c r="K139" s="11">
        <f t="shared" si="17"/>
        <v>68088416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350</v>
      </c>
      <c r="H140" s="11">
        <f t="shared" si="15"/>
        <v>1</v>
      </c>
      <c r="I140" s="11">
        <f t="shared" si="13"/>
        <v>523500000</v>
      </c>
      <c r="J140" s="11">
        <f t="shared" si="16"/>
        <v>0</v>
      </c>
      <c r="K140" s="11">
        <f t="shared" si="17"/>
        <v>523500000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337</v>
      </c>
      <c r="H141" s="11">
        <f t="shared" si="15"/>
        <v>0</v>
      </c>
      <c r="I141" s="11">
        <f t="shared" si="13"/>
        <v>0</v>
      </c>
      <c r="J141" s="11">
        <f t="shared" si="16"/>
        <v>-337000000</v>
      </c>
      <c r="K141" s="11">
        <f t="shared" si="17"/>
        <v>337000000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323</v>
      </c>
      <c r="H142" s="11">
        <f t="shared" si="15"/>
        <v>1</v>
      </c>
      <c r="I142" s="11">
        <f t="shared" si="13"/>
        <v>93667546</v>
      </c>
      <c r="J142" s="11">
        <f t="shared" si="16"/>
        <v>26089084</v>
      </c>
      <c r="K142" s="11">
        <f t="shared" si="17"/>
        <v>67578462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303</v>
      </c>
      <c r="H143" s="11">
        <f t="shared" si="15"/>
        <v>0</v>
      </c>
      <c r="I143" s="11">
        <f t="shared" si="13"/>
        <v>0</v>
      </c>
      <c r="J143" s="11">
        <f t="shared" si="16"/>
        <v>-303000000</v>
      </c>
      <c r="K143" s="11">
        <f t="shared" si="17"/>
        <v>303000000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293</v>
      </c>
      <c r="H144" s="11">
        <f t="shared" si="15"/>
        <v>1</v>
      </c>
      <c r="I144" s="11">
        <f t="shared" si="13"/>
        <v>86096784</v>
      </c>
      <c r="J144" s="11">
        <f t="shared" si="16"/>
        <v>21799844</v>
      </c>
      <c r="K144" s="11">
        <f t="shared" si="17"/>
        <v>64296940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278</v>
      </c>
      <c r="H145" s="11">
        <f t="shared" si="15"/>
        <v>0</v>
      </c>
      <c r="I145" s="11">
        <f t="shared" si="13"/>
        <v>-2780000</v>
      </c>
      <c r="J145" s="11">
        <f t="shared" si="16"/>
        <v>-1390000</v>
      </c>
      <c r="K145" s="11">
        <f t="shared" si="17"/>
        <v>-1390000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273</v>
      </c>
      <c r="H146" s="11">
        <f t="shared" si="15"/>
        <v>0</v>
      </c>
      <c r="I146" s="11">
        <f t="shared" si="13"/>
        <v>-273136500</v>
      </c>
      <c r="J146" s="11">
        <f t="shared" si="16"/>
        <v>-273136500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267</v>
      </c>
      <c r="H147" s="11">
        <f t="shared" si="15"/>
        <v>0</v>
      </c>
      <c r="I147" s="11">
        <f t="shared" si="13"/>
        <v>-7209000000</v>
      </c>
      <c r="J147" s="11">
        <f t="shared" si="16"/>
        <v>0</v>
      </c>
      <c r="K147" s="11">
        <f t="shared" si="17"/>
        <v>-7209000000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264</v>
      </c>
      <c r="H148" s="11">
        <f t="shared" si="15"/>
        <v>1</v>
      </c>
      <c r="I148" s="11">
        <f t="shared" si="13"/>
        <v>66390668</v>
      </c>
      <c r="J148" s="11">
        <f t="shared" si="16"/>
        <v>17229130</v>
      </c>
      <c r="K148" s="11">
        <f t="shared" si="17"/>
        <v>49161538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256</v>
      </c>
      <c r="H149" s="11">
        <f t="shared" si="15"/>
        <v>1</v>
      </c>
      <c r="I149" s="11">
        <f t="shared" si="13"/>
        <v>13362000000</v>
      </c>
      <c r="J149" s="11">
        <f t="shared" si="16"/>
        <v>0</v>
      </c>
      <c r="K149" s="11">
        <f t="shared" si="17"/>
        <v>13362000000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249</v>
      </c>
      <c r="H150" s="11">
        <f t="shared" si="15"/>
        <v>0</v>
      </c>
      <c r="I150" s="11">
        <f t="shared" si="13"/>
        <v>-12948000000</v>
      </c>
      <c r="J150" s="11">
        <f t="shared" si="16"/>
        <v>0</v>
      </c>
      <c r="K150" s="11">
        <f t="shared" si="17"/>
        <v>-12948000000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244</v>
      </c>
      <c r="H151" s="99">
        <f t="shared" si="15"/>
        <v>0</v>
      </c>
      <c r="I151" s="99">
        <f t="shared" si="13"/>
        <v>-1952000000</v>
      </c>
      <c r="J151" s="99">
        <f t="shared" si="16"/>
        <v>-1652399964</v>
      </c>
      <c r="K151" s="11">
        <f t="shared" si="17"/>
        <v>-299600036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244</v>
      </c>
      <c r="H152" s="99">
        <f t="shared" si="15"/>
        <v>0</v>
      </c>
      <c r="I152" s="99">
        <f t="shared" si="13"/>
        <v>-7620120</v>
      </c>
      <c r="J152" s="99">
        <f t="shared" si="16"/>
        <v>0</v>
      </c>
      <c r="K152" s="99">
        <f t="shared" si="17"/>
        <v>-7620120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233</v>
      </c>
      <c r="H153" s="99">
        <f t="shared" si="15"/>
        <v>1</v>
      </c>
      <c r="I153" s="99">
        <f t="shared" si="13"/>
        <v>31340184</v>
      </c>
      <c r="J153" s="99">
        <f t="shared" si="16"/>
        <v>9542160</v>
      </c>
      <c r="K153" s="99">
        <f t="shared" si="17"/>
        <v>21798024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230</v>
      </c>
      <c r="H154" s="99">
        <f t="shared" si="15"/>
        <v>1</v>
      </c>
      <c r="I154" s="99">
        <f t="shared" si="13"/>
        <v>1562714778</v>
      </c>
      <c r="J154" s="99">
        <f t="shared" si="16"/>
        <v>1562714778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225</v>
      </c>
      <c r="H155" s="99">
        <f t="shared" si="15"/>
        <v>0</v>
      </c>
      <c r="I155" s="99">
        <f t="shared" si="13"/>
        <v>-45000000</v>
      </c>
      <c r="J155" s="99">
        <f t="shared" si="16"/>
        <v>0</v>
      </c>
      <c r="K155" s="99">
        <f t="shared" si="17"/>
        <v>-45000000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225</v>
      </c>
      <c r="H156" s="99">
        <f t="shared" si="15"/>
        <v>0</v>
      </c>
      <c r="I156" s="99">
        <f t="shared" si="13"/>
        <v>-55764000</v>
      </c>
      <c r="J156" s="99">
        <f t="shared" si="16"/>
        <v>0</v>
      </c>
      <c r="K156" s="99">
        <f t="shared" si="17"/>
        <v>-55764000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224</v>
      </c>
      <c r="H157" s="99">
        <f t="shared" si="15"/>
        <v>0</v>
      </c>
      <c r="I157" s="99">
        <f t="shared" si="13"/>
        <v>-36364160</v>
      </c>
      <c r="J157" s="99">
        <f t="shared" si="16"/>
        <v>0</v>
      </c>
      <c r="K157" s="99">
        <f t="shared" si="17"/>
        <v>-36364160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224</v>
      </c>
      <c r="H158" s="99">
        <f t="shared" si="15"/>
        <v>0</v>
      </c>
      <c r="I158" s="99">
        <f t="shared" si="13"/>
        <v>-672201600</v>
      </c>
      <c r="J158" s="99">
        <f t="shared" si="16"/>
        <v>0</v>
      </c>
      <c r="K158" s="99">
        <f t="shared" si="17"/>
        <v>-672201600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222</v>
      </c>
      <c r="H159" s="99">
        <f t="shared" si="15"/>
        <v>0</v>
      </c>
      <c r="I159" s="99">
        <f t="shared" si="13"/>
        <v>-222111000</v>
      </c>
      <c r="J159" s="99">
        <f t="shared" si="16"/>
        <v>0</v>
      </c>
      <c r="K159" s="99">
        <f t="shared" si="17"/>
        <v>-222111000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218</v>
      </c>
      <c r="H160" s="99">
        <f t="shared" si="15"/>
        <v>0</v>
      </c>
      <c r="I160" s="99">
        <f t="shared" si="13"/>
        <v>-21800000</v>
      </c>
      <c r="J160" s="99">
        <f t="shared" si="16"/>
        <v>0</v>
      </c>
      <c r="K160" s="99">
        <f t="shared" si="17"/>
        <v>-21800000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217</v>
      </c>
      <c r="H161" s="99">
        <f t="shared" si="15"/>
        <v>0</v>
      </c>
      <c r="I161" s="99">
        <f t="shared" si="13"/>
        <v>-434000000</v>
      </c>
      <c r="J161" s="99">
        <f t="shared" si="16"/>
        <v>0</v>
      </c>
      <c r="K161" s="99">
        <f t="shared" si="17"/>
        <v>-434000000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217</v>
      </c>
      <c r="H162" s="99">
        <f t="shared" si="15"/>
        <v>0</v>
      </c>
      <c r="I162" s="99">
        <f t="shared" si="13"/>
        <v>-217108500</v>
      </c>
      <c r="J162" s="99">
        <f t="shared" si="16"/>
        <v>0</v>
      </c>
      <c r="K162" s="99">
        <f t="shared" si="17"/>
        <v>-217108500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214</v>
      </c>
      <c r="H163" s="99">
        <f t="shared" si="15"/>
        <v>0</v>
      </c>
      <c r="I163" s="99">
        <f t="shared" si="13"/>
        <v>-1070000</v>
      </c>
      <c r="J163" s="99">
        <f t="shared" si="16"/>
        <v>0</v>
      </c>
      <c r="K163" s="99">
        <f t="shared" si="17"/>
        <v>-1070000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204</v>
      </c>
      <c r="H164" s="99">
        <f t="shared" si="15"/>
        <v>1</v>
      </c>
      <c r="I164" s="99">
        <f t="shared" si="13"/>
        <v>609000000</v>
      </c>
      <c r="J164" s="99">
        <f t="shared" si="16"/>
        <v>0</v>
      </c>
      <c r="K164" s="99">
        <f t="shared" si="17"/>
        <v>609000000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203</v>
      </c>
      <c r="H165" s="99">
        <f t="shared" si="15"/>
        <v>1</v>
      </c>
      <c r="I165" s="99">
        <f t="shared" si="13"/>
        <v>606000000</v>
      </c>
      <c r="J165" s="99">
        <f t="shared" si="16"/>
        <v>0</v>
      </c>
      <c r="K165" s="99">
        <f t="shared" si="17"/>
        <v>606000000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202</v>
      </c>
      <c r="H166" s="99">
        <f t="shared" si="15"/>
        <v>1</v>
      </c>
      <c r="I166" s="99">
        <f t="shared" si="13"/>
        <v>4083114</v>
      </c>
      <c r="J166" s="99">
        <f t="shared" si="16"/>
        <v>12028242</v>
      </c>
      <c r="K166" s="99">
        <f t="shared" si="17"/>
        <v>-7945128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197</v>
      </c>
      <c r="H167" s="99">
        <f t="shared" si="15"/>
        <v>0</v>
      </c>
      <c r="I167" s="99">
        <f t="shared" si="13"/>
        <v>-591177300</v>
      </c>
      <c r="J167" s="99">
        <f t="shared" si="16"/>
        <v>0</v>
      </c>
      <c r="K167" s="99">
        <f t="shared" si="17"/>
        <v>-591177300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179</v>
      </c>
      <c r="H168" s="99">
        <f t="shared" si="15"/>
        <v>0</v>
      </c>
      <c r="I168" s="99">
        <f t="shared" si="13"/>
        <v>-537161100</v>
      </c>
      <c r="J168" s="99">
        <f t="shared" si="16"/>
        <v>0</v>
      </c>
      <c r="K168" s="99">
        <f t="shared" si="17"/>
        <v>-537161100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171</v>
      </c>
      <c r="H169" s="99">
        <f t="shared" si="15"/>
        <v>1</v>
      </c>
      <c r="I169" s="99">
        <f t="shared" si="13"/>
        <v>3689850</v>
      </c>
      <c r="J169" s="99">
        <f t="shared" si="16"/>
        <v>11647550</v>
      </c>
      <c r="K169" s="99">
        <f t="shared" si="17"/>
        <v>-7957700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147</v>
      </c>
      <c r="H170" s="99">
        <f t="shared" si="15"/>
        <v>1</v>
      </c>
      <c r="I170" s="99">
        <f t="shared" si="13"/>
        <v>730000000</v>
      </c>
      <c r="J170" s="99">
        <f t="shared" si="16"/>
        <v>0</v>
      </c>
      <c r="K170" s="99">
        <f t="shared" si="17"/>
        <v>730000000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146</v>
      </c>
      <c r="H171" s="99">
        <f t="shared" si="15"/>
        <v>0</v>
      </c>
      <c r="I171" s="99">
        <f t="shared" si="13"/>
        <v>-730000000</v>
      </c>
      <c r="J171" s="99">
        <f t="shared" si="16"/>
        <v>0</v>
      </c>
      <c r="K171" s="99">
        <f t="shared" si="17"/>
        <v>-730000000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140</v>
      </c>
      <c r="H172" s="99">
        <f t="shared" si="15"/>
        <v>1</v>
      </c>
      <c r="I172" s="99">
        <f t="shared" si="13"/>
        <v>68944</v>
      </c>
      <c r="J172" s="99">
        <f t="shared" si="16"/>
        <v>8712659</v>
      </c>
      <c r="K172" s="99">
        <f t="shared" si="17"/>
        <v>-8643715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139</v>
      </c>
      <c r="H173" s="99">
        <f t="shared" si="15"/>
        <v>1</v>
      </c>
      <c r="I173" s="99">
        <f t="shared" si="13"/>
        <v>108330000</v>
      </c>
      <c r="J173" s="99">
        <f t="shared" si="16"/>
        <v>0</v>
      </c>
      <c r="K173" s="99">
        <f t="shared" si="17"/>
        <v>108330000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128</v>
      </c>
      <c r="H174" s="99">
        <f t="shared" si="15"/>
        <v>0</v>
      </c>
      <c r="I174" s="99">
        <f t="shared" si="13"/>
        <v>-4096000</v>
      </c>
      <c r="J174" s="99">
        <f t="shared" si="16"/>
        <v>0</v>
      </c>
      <c r="K174" s="99">
        <f t="shared" si="17"/>
        <v>-4096000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126</v>
      </c>
      <c r="H175" s="99">
        <f t="shared" si="15"/>
        <v>0</v>
      </c>
      <c r="I175" s="99">
        <f t="shared" si="13"/>
        <v>-94500000</v>
      </c>
      <c r="J175" s="99">
        <f t="shared" si="16"/>
        <v>0</v>
      </c>
      <c r="K175" s="99">
        <f t="shared" si="17"/>
        <v>-94500000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117</v>
      </c>
      <c r="H176" s="99">
        <f t="shared" si="15"/>
        <v>0</v>
      </c>
      <c r="I176" s="99">
        <f t="shared" si="13"/>
        <v>-1099332</v>
      </c>
      <c r="J176" s="99">
        <f t="shared" si="16"/>
        <v>0</v>
      </c>
      <c r="K176" s="99">
        <f t="shared" si="17"/>
        <v>-1099332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116</v>
      </c>
      <c r="H177" s="99">
        <f t="shared" si="15"/>
        <v>0</v>
      </c>
      <c r="I177" s="99">
        <f t="shared" si="13"/>
        <v>-5022800</v>
      </c>
      <c r="J177" s="99">
        <f t="shared" si="16"/>
        <v>0</v>
      </c>
      <c r="K177" s="99">
        <f t="shared" si="17"/>
        <v>-5022800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113</v>
      </c>
      <c r="H178" s="99">
        <f t="shared" si="15"/>
        <v>1</v>
      </c>
      <c r="I178" s="99">
        <f t="shared" si="13"/>
        <v>40320000</v>
      </c>
      <c r="J178" s="99">
        <f t="shared" si="16"/>
        <v>0</v>
      </c>
      <c r="K178" s="99">
        <f t="shared" si="17"/>
        <v>40320000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111</v>
      </c>
      <c r="H179" s="99">
        <f t="shared" si="15"/>
        <v>1</v>
      </c>
      <c r="I179" s="99">
        <f t="shared" si="13"/>
        <v>330000000</v>
      </c>
      <c r="J179" s="99">
        <f t="shared" si="16"/>
        <v>0</v>
      </c>
      <c r="K179" s="99">
        <f t="shared" si="17"/>
        <v>330000000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111</v>
      </c>
      <c r="H180" s="99">
        <f t="shared" si="15"/>
        <v>0</v>
      </c>
      <c r="I180" s="99">
        <f t="shared" si="13"/>
        <v>-1337550</v>
      </c>
      <c r="J180" s="99">
        <f t="shared" si="16"/>
        <v>0</v>
      </c>
      <c r="K180" s="99">
        <f t="shared" si="17"/>
        <v>-1337550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109</v>
      </c>
      <c r="H181" s="99">
        <f t="shared" si="15"/>
        <v>1</v>
      </c>
      <c r="I181" s="99">
        <f t="shared" si="13"/>
        <v>324000000</v>
      </c>
      <c r="J181" s="99">
        <f t="shared" si="16"/>
        <v>0</v>
      </c>
      <c r="K181" s="99">
        <f t="shared" si="17"/>
        <v>324000000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107</v>
      </c>
      <c r="H182" s="99">
        <f t="shared" si="15"/>
        <v>0</v>
      </c>
      <c r="I182" s="99">
        <f t="shared" si="13"/>
        <v>-3830600</v>
      </c>
      <c r="J182" s="99">
        <f t="shared" si="16"/>
        <v>0</v>
      </c>
      <c r="K182" s="99">
        <f t="shared" si="17"/>
        <v>-3830600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106</v>
      </c>
      <c r="H183" s="99">
        <f t="shared" si="15"/>
        <v>1</v>
      </c>
      <c r="I183" s="99">
        <f t="shared" si="13"/>
        <v>378000000</v>
      </c>
      <c r="J183" s="99">
        <f t="shared" si="16"/>
        <v>0</v>
      </c>
      <c r="K183" s="99">
        <f t="shared" si="17"/>
        <v>378000000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106</v>
      </c>
      <c r="H184" s="99">
        <f t="shared" si="15"/>
        <v>0</v>
      </c>
      <c r="I184" s="99">
        <f t="shared" si="13"/>
        <v>-3537962</v>
      </c>
      <c r="J184" s="99">
        <f t="shared" si="16"/>
        <v>0</v>
      </c>
      <c r="K184" s="99">
        <f t="shared" si="17"/>
        <v>-3537962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103</v>
      </c>
      <c r="H185" s="99">
        <f t="shared" si="15"/>
        <v>0</v>
      </c>
      <c r="I185" s="99">
        <f t="shared" si="13"/>
        <v>-1009400000</v>
      </c>
      <c r="J185" s="99">
        <f t="shared" si="16"/>
        <v>0</v>
      </c>
      <c r="K185" s="99">
        <f t="shared" si="17"/>
        <v>-1009400000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103</v>
      </c>
      <c r="H186" s="99">
        <f t="shared" si="15"/>
        <v>1</v>
      </c>
      <c r="I186" s="99">
        <f t="shared" si="13"/>
        <v>1836000000</v>
      </c>
      <c r="J186" s="99">
        <f t="shared" si="16"/>
        <v>0</v>
      </c>
      <c r="K186" s="99">
        <f t="shared" si="17"/>
        <v>1836000000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103</v>
      </c>
      <c r="H187" s="99">
        <f t="shared" si="15"/>
        <v>0</v>
      </c>
      <c r="I187" s="99">
        <f t="shared" si="13"/>
        <v>-927000000</v>
      </c>
      <c r="J187" s="99">
        <f t="shared" si="16"/>
        <v>0</v>
      </c>
      <c r="K187" s="99">
        <f t="shared" si="17"/>
        <v>-927000000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103</v>
      </c>
      <c r="H188" s="99">
        <f t="shared" si="15"/>
        <v>0</v>
      </c>
      <c r="I188" s="99">
        <f t="shared" si="13"/>
        <v>-1194800</v>
      </c>
      <c r="J188" s="99">
        <f t="shared" si="16"/>
        <v>0</v>
      </c>
      <c r="K188" s="99">
        <f t="shared" si="17"/>
        <v>-1194800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103</v>
      </c>
      <c r="H189" s="99">
        <f t="shared" si="15"/>
        <v>0</v>
      </c>
      <c r="I189" s="99">
        <f t="shared" si="13"/>
        <v>-340345681</v>
      </c>
      <c r="J189" s="99">
        <f t="shared" si="16"/>
        <v>0</v>
      </c>
      <c r="K189" s="99">
        <f t="shared" si="17"/>
        <v>-340345681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102</v>
      </c>
      <c r="H190" s="99">
        <f t="shared" si="15"/>
        <v>0</v>
      </c>
      <c r="I190" s="99">
        <f t="shared" si="13"/>
        <v>-306091800</v>
      </c>
      <c r="J190" s="99">
        <f t="shared" si="16"/>
        <v>0</v>
      </c>
      <c r="K190" s="99">
        <f t="shared" si="17"/>
        <v>-306091800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101</v>
      </c>
      <c r="H191" s="99">
        <f t="shared" si="15"/>
        <v>0</v>
      </c>
      <c r="I191" s="99">
        <f t="shared" si="13"/>
        <v>-278850900</v>
      </c>
      <c r="J191" s="99">
        <f t="shared" si="16"/>
        <v>0</v>
      </c>
      <c r="K191" s="99">
        <f t="shared" si="17"/>
        <v>-278850900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96</v>
      </c>
      <c r="H192" s="99">
        <f t="shared" si="15"/>
        <v>1</v>
      </c>
      <c r="I192" s="99">
        <f t="shared" si="13"/>
        <v>95000000</v>
      </c>
      <c r="J192" s="99">
        <f t="shared" si="16"/>
        <v>0</v>
      </c>
      <c r="K192" s="99">
        <f t="shared" si="17"/>
        <v>95000000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95</v>
      </c>
      <c r="H193" s="99">
        <f t="shared" si="15"/>
        <v>0</v>
      </c>
      <c r="I193" s="99">
        <f t="shared" si="13"/>
        <v>-1425000</v>
      </c>
      <c r="J193" s="99">
        <f t="shared" si="16"/>
        <v>0</v>
      </c>
      <c r="K193" s="99">
        <f t="shared" si="17"/>
        <v>-1425000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93</v>
      </c>
      <c r="H194" s="99">
        <f t="shared" si="15"/>
        <v>0</v>
      </c>
      <c r="I194" s="99">
        <f t="shared" si="13"/>
        <v>-92070000</v>
      </c>
      <c r="J194" s="99">
        <f t="shared" si="16"/>
        <v>0</v>
      </c>
      <c r="K194" s="99">
        <f t="shared" si="17"/>
        <v>-92070000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93</v>
      </c>
      <c r="H195" s="99">
        <f t="shared" si="15"/>
        <v>1</v>
      </c>
      <c r="I195" s="99">
        <f t="shared" si="13"/>
        <v>72036000</v>
      </c>
      <c r="J195" s="99">
        <f t="shared" si="16"/>
        <v>0</v>
      </c>
      <c r="K195" s="99">
        <f t="shared" si="17"/>
        <v>72036000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91</v>
      </c>
      <c r="H196" s="99">
        <f t="shared" si="15"/>
        <v>0</v>
      </c>
      <c r="I196" s="99">
        <f t="shared" si="13"/>
        <v>-68295500</v>
      </c>
      <c r="J196" s="99">
        <f t="shared" si="16"/>
        <v>0</v>
      </c>
      <c r="K196" s="99">
        <f t="shared" si="17"/>
        <v>-68295500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89</v>
      </c>
      <c r="H197" s="99">
        <f t="shared" si="15"/>
        <v>1</v>
      </c>
      <c r="I197" s="99">
        <f t="shared" si="13"/>
        <v>61600000</v>
      </c>
      <c r="J197" s="99">
        <f t="shared" si="16"/>
        <v>0</v>
      </c>
      <c r="K197" s="99">
        <f t="shared" si="17"/>
        <v>61600000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89</v>
      </c>
      <c r="H198" s="99">
        <f t="shared" si="15"/>
        <v>0</v>
      </c>
      <c r="I198" s="99">
        <f t="shared" si="13"/>
        <v>-8811000</v>
      </c>
      <c r="J198" s="99">
        <f t="shared" si="16"/>
        <v>0</v>
      </c>
      <c r="K198" s="99">
        <f t="shared" si="17"/>
        <v>-8811000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88</v>
      </c>
      <c r="H199" s="99">
        <f t="shared" si="15"/>
        <v>0</v>
      </c>
      <c r="I199" s="99">
        <f t="shared" si="13"/>
        <v>-18106000</v>
      </c>
      <c r="J199" s="99">
        <f t="shared" si="16"/>
        <v>0</v>
      </c>
      <c r="K199" s="99">
        <f t="shared" si="17"/>
        <v>-18106000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88</v>
      </c>
      <c r="H200" s="99">
        <f t="shared" si="15"/>
        <v>0</v>
      </c>
      <c r="I200" s="99">
        <f t="shared" si="13"/>
        <v>-8360000</v>
      </c>
      <c r="J200" s="99">
        <f t="shared" si="16"/>
        <v>0</v>
      </c>
      <c r="K200" s="99">
        <f t="shared" si="17"/>
        <v>-8360000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85</v>
      </c>
      <c r="H201" s="99">
        <f t="shared" si="15"/>
        <v>1</v>
      </c>
      <c r="I201" s="99">
        <f t="shared" si="13"/>
        <v>4086600000</v>
      </c>
      <c r="J201" s="99">
        <f t="shared" si="16"/>
        <v>0</v>
      </c>
      <c r="K201" s="99">
        <f t="shared" si="17"/>
        <v>4086600000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85</v>
      </c>
      <c r="H202" s="99">
        <f t="shared" si="15"/>
        <v>0</v>
      </c>
      <c r="I202" s="99">
        <f t="shared" si="13"/>
        <v>-255076500</v>
      </c>
      <c r="J202" s="99">
        <f t="shared" si="16"/>
        <v>0</v>
      </c>
      <c r="K202" s="99">
        <f t="shared" si="17"/>
        <v>-255076500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85</v>
      </c>
      <c r="H203" s="99">
        <f t="shared" si="15"/>
        <v>0</v>
      </c>
      <c r="I203" s="99">
        <f t="shared" si="13"/>
        <v>-425000</v>
      </c>
      <c r="J203" s="99">
        <f t="shared" si="16"/>
        <v>0</v>
      </c>
      <c r="K203" s="99">
        <f t="shared" si="17"/>
        <v>-425000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85</v>
      </c>
      <c r="H204" s="99">
        <f t="shared" si="15"/>
        <v>0</v>
      </c>
      <c r="I204" s="99">
        <f t="shared" si="13"/>
        <v>-2847500000</v>
      </c>
      <c r="J204" s="99">
        <f t="shared" si="16"/>
        <v>0</v>
      </c>
      <c r="K204" s="99">
        <f t="shared" si="17"/>
        <v>-2847500000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84</v>
      </c>
      <c r="H205" s="99">
        <f t="shared" si="15"/>
        <v>0</v>
      </c>
      <c r="I205" s="99">
        <f t="shared" si="13"/>
        <v>-1044540000</v>
      </c>
      <c r="J205" s="99">
        <f t="shared" si="16"/>
        <v>0</v>
      </c>
      <c r="K205" s="99">
        <f t="shared" si="17"/>
        <v>-1044540000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81</v>
      </c>
      <c r="H206" s="99">
        <f t="shared" si="15"/>
        <v>0</v>
      </c>
      <c r="I206" s="99">
        <f t="shared" si="13"/>
        <v>-1498500</v>
      </c>
      <c r="J206" s="99">
        <f t="shared" si="16"/>
        <v>0</v>
      </c>
      <c r="K206" s="99">
        <f t="shared" si="17"/>
        <v>-1498500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79</v>
      </c>
      <c r="H207" s="99">
        <f t="shared" si="15"/>
        <v>1</v>
      </c>
      <c r="I207" s="99">
        <f t="shared" si="13"/>
        <v>1129440</v>
      </c>
      <c r="J207" s="99">
        <f t="shared" ref="J207:J266" si="20">C207*(G207-H207)</f>
        <v>5528172</v>
      </c>
      <c r="K207" s="99">
        <f t="shared" si="17"/>
        <v>-4398732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78</v>
      </c>
      <c r="H208" s="99">
        <f t="shared" si="15"/>
        <v>1</v>
      </c>
      <c r="I208" s="99">
        <f t="shared" si="13"/>
        <v>63910000</v>
      </c>
      <c r="J208" s="99">
        <f t="shared" si="20"/>
        <v>0</v>
      </c>
      <c r="K208" s="99">
        <f t="shared" si="17"/>
        <v>63910000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76</v>
      </c>
      <c r="H209" s="99">
        <f t="shared" si="15"/>
        <v>0</v>
      </c>
      <c r="I209" s="99">
        <f t="shared" si="13"/>
        <v>-3985440</v>
      </c>
      <c r="J209" s="99">
        <f t="shared" si="20"/>
        <v>0</v>
      </c>
      <c r="K209" s="99">
        <f t="shared" si="17"/>
        <v>-3985440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75</v>
      </c>
      <c r="H210" s="99">
        <f t="shared" si="15"/>
        <v>0</v>
      </c>
      <c r="I210" s="99">
        <f t="shared" si="13"/>
        <v>-3832500</v>
      </c>
      <c r="J210" s="99">
        <f t="shared" si="20"/>
        <v>0</v>
      </c>
      <c r="K210" s="99">
        <f t="shared" si="17"/>
        <v>-3832500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74</v>
      </c>
      <c r="H211" s="99">
        <f t="shared" si="15"/>
        <v>0</v>
      </c>
      <c r="I211" s="99">
        <f t="shared" si="13"/>
        <v>-14800000</v>
      </c>
      <c r="J211" s="99">
        <f t="shared" si="20"/>
        <v>0</v>
      </c>
      <c r="K211" s="99">
        <f t="shared" si="17"/>
        <v>-14800000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73</v>
      </c>
      <c r="H212" s="99">
        <f t="shared" si="15"/>
        <v>0</v>
      </c>
      <c r="I212" s="99">
        <f t="shared" si="13"/>
        <v>-2044000</v>
      </c>
      <c r="J212" s="99">
        <f t="shared" si="20"/>
        <v>0</v>
      </c>
      <c r="K212" s="99">
        <f t="shared" si="17"/>
        <v>-2044000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72</v>
      </c>
      <c r="H213" s="99">
        <f t="shared" si="15"/>
        <v>0</v>
      </c>
      <c r="I213" s="99">
        <f t="shared" si="13"/>
        <v>-4255200</v>
      </c>
      <c r="J213" s="99">
        <f t="shared" si="20"/>
        <v>0</v>
      </c>
      <c r="K213" s="99">
        <f t="shared" si="17"/>
        <v>-4255200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71</v>
      </c>
      <c r="H214" s="99">
        <f t="shared" si="15"/>
        <v>0</v>
      </c>
      <c r="I214" s="99">
        <f t="shared" si="13"/>
        <v>-2130000</v>
      </c>
      <c r="J214" s="99">
        <f t="shared" si="20"/>
        <v>0</v>
      </c>
      <c r="K214" s="99">
        <f t="shared" si="17"/>
        <v>-2130000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71</v>
      </c>
      <c r="H215" s="99">
        <f t="shared" si="15"/>
        <v>0</v>
      </c>
      <c r="I215" s="99">
        <f t="shared" si="13"/>
        <v>-12638000</v>
      </c>
      <c r="J215" s="99">
        <f t="shared" si="20"/>
        <v>0</v>
      </c>
      <c r="K215" s="99">
        <f t="shared" si="17"/>
        <v>-12638000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70</v>
      </c>
      <c r="H216" s="99">
        <f t="shared" si="15"/>
        <v>0</v>
      </c>
      <c r="I216" s="99">
        <f t="shared" si="13"/>
        <v>-6692700</v>
      </c>
      <c r="J216" s="99">
        <f t="shared" si="20"/>
        <v>0</v>
      </c>
      <c r="K216" s="99">
        <f t="shared" si="17"/>
        <v>-6692700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67</v>
      </c>
      <c r="H217" s="99">
        <f t="shared" si="15"/>
        <v>0</v>
      </c>
      <c r="I217" s="99">
        <f t="shared" si="13"/>
        <v>-5628000</v>
      </c>
      <c r="J217" s="99">
        <f t="shared" si="20"/>
        <v>0</v>
      </c>
      <c r="K217" s="99">
        <f t="shared" si="17"/>
        <v>-5628000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65</v>
      </c>
      <c r="H218" s="99">
        <f t="shared" si="15"/>
        <v>0</v>
      </c>
      <c r="I218" s="99">
        <f t="shared" si="13"/>
        <v>-2145000</v>
      </c>
      <c r="J218" s="99">
        <f t="shared" si="20"/>
        <v>0</v>
      </c>
      <c r="K218" s="99">
        <f t="shared" si="17"/>
        <v>-2145000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62</v>
      </c>
      <c r="H219" s="99">
        <f t="shared" si="15"/>
        <v>1</v>
      </c>
      <c r="I219" s="99">
        <f t="shared" si="13"/>
        <v>94428000</v>
      </c>
      <c r="J219" s="99">
        <f t="shared" si="20"/>
        <v>0</v>
      </c>
      <c r="K219" s="99">
        <f t="shared" si="17"/>
        <v>94428000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61</v>
      </c>
      <c r="H220" s="99">
        <f t="shared" si="15"/>
        <v>0</v>
      </c>
      <c r="I220" s="99">
        <f t="shared" si="13"/>
        <v>-85442700</v>
      </c>
      <c r="J220" s="99">
        <f t="shared" si="20"/>
        <v>0</v>
      </c>
      <c r="K220" s="99">
        <f t="shared" si="17"/>
        <v>-85442700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61</v>
      </c>
      <c r="H221" s="99">
        <f t="shared" si="15"/>
        <v>0</v>
      </c>
      <c r="I221" s="99">
        <f t="shared" si="13"/>
        <v>-610000</v>
      </c>
      <c r="J221" s="99">
        <f t="shared" si="20"/>
        <v>0</v>
      </c>
      <c r="K221" s="99">
        <f t="shared" si="17"/>
        <v>-610000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61</v>
      </c>
      <c r="H222" s="99">
        <f t="shared" si="15"/>
        <v>0</v>
      </c>
      <c r="I222" s="99">
        <f t="shared" si="13"/>
        <v>-305000</v>
      </c>
      <c r="J222" s="99">
        <f t="shared" si="20"/>
        <v>-152500</v>
      </c>
      <c r="K222" s="99">
        <f t="shared" si="17"/>
        <v>-152500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55</v>
      </c>
      <c r="H223" s="99">
        <f t="shared" si="15"/>
        <v>0</v>
      </c>
      <c r="I223" s="99">
        <f t="shared" si="13"/>
        <v>-10450000</v>
      </c>
      <c r="J223" s="99">
        <f t="shared" si="20"/>
        <v>0</v>
      </c>
      <c r="K223" s="99">
        <f t="shared" si="17"/>
        <v>-10450000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48</v>
      </c>
      <c r="H224" s="99">
        <f t="shared" si="15"/>
        <v>1</v>
      </c>
      <c r="I224" s="99">
        <f t="shared" si="13"/>
        <v>89817</v>
      </c>
      <c r="J224" s="99">
        <f t="shared" si="20"/>
        <v>3053684</v>
      </c>
      <c r="K224" s="99">
        <f t="shared" si="17"/>
        <v>-2963867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42</v>
      </c>
      <c r="H225" s="99">
        <f t="shared" si="15"/>
        <v>1</v>
      </c>
      <c r="I225" s="99">
        <f t="shared" si="13"/>
        <v>205000000</v>
      </c>
      <c r="J225" s="99">
        <f t="shared" si="20"/>
        <v>0</v>
      </c>
      <c r="K225" s="99">
        <f t="shared" si="17"/>
        <v>205000000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41</v>
      </c>
      <c r="H226" s="99">
        <f t="shared" si="15"/>
        <v>0</v>
      </c>
      <c r="I226" s="99">
        <f t="shared" si="13"/>
        <v>-131200000</v>
      </c>
      <c r="J226" s="99">
        <f t="shared" si="20"/>
        <v>0</v>
      </c>
      <c r="K226" s="99">
        <f t="shared" si="17"/>
        <v>-131200000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41</v>
      </c>
      <c r="H227" s="99">
        <f t="shared" si="15"/>
        <v>1</v>
      </c>
      <c r="I227" s="99">
        <f t="shared" si="13"/>
        <v>96000000</v>
      </c>
      <c r="J227" s="99">
        <f t="shared" si="20"/>
        <v>0</v>
      </c>
      <c r="K227" s="99">
        <f t="shared" si="17"/>
        <v>96000000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39</v>
      </c>
      <c r="H228" s="99">
        <f t="shared" si="15"/>
        <v>0</v>
      </c>
      <c r="I228" s="99">
        <f t="shared" si="13"/>
        <v>-1950000</v>
      </c>
      <c r="J228" s="99">
        <f t="shared" si="20"/>
        <v>0</v>
      </c>
      <c r="K228" s="99">
        <f t="shared" si="17"/>
        <v>-1950000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38</v>
      </c>
      <c r="H229" s="99">
        <f t="shared" si="15"/>
        <v>0</v>
      </c>
      <c r="I229" s="99">
        <f t="shared" si="13"/>
        <v>-155826600</v>
      </c>
      <c r="J229" s="99">
        <f t="shared" si="20"/>
        <v>0</v>
      </c>
      <c r="K229" s="99">
        <f t="shared" si="17"/>
        <v>-155826600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34</v>
      </c>
      <c r="H230" s="99">
        <f t="shared" si="15"/>
        <v>1</v>
      </c>
      <c r="I230" s="99">
        <f t="shared" si="13"/>
        <v>320100000</v>
      </c>
      <c r="J230" s="99">
        <f t="shared" si="20"/>
        <v>0</v>
      </c>
      <c r="K230" s="99">
        <f t="shared" si="17"/>
        <v>320100000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34</v>
      </c>
      <c r="H231" s="99">
        <f t="shared" si="15"/>
        <v>0</v>
      </c>
      <c r="I231" s="99">
        <f t="shared" si="13"/>
        <v>-102030600</v>
      </c>
      <c r="J231" s="99">
        <f t="shared" si="20"/>
        <v>0</v>
      </c>
      <c r="K231" s="99">
        <f t="shared" si="17"/>
        <v>-102030600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33</v>
      </c>
      <c r="H232" s="99">
        <f t="shared" si="15"/>
        <v>0</v>
      </c>
      <c r="I232" s="99">
        <f t="shared" si="13"/>
        <v>-99029700</v>
      </c>
      <c r="J232" s="99">
        <f t="shared" si="20"/>
        <v>0</v>
      </c>
      <c r="K232" s="99">
        <f t="shared" si="17"/>
        <v>-99029700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33</v>
      </c>
      <c r="H233" s="99">
        <f t="shared" si="15"/>
        <v>0</v>
      </c>
      <c r="I233" s="99">
        <f t="shared" si="13"/>
        <v>-18315000</v>
      </c>
      <c r="J233" s="99">
        <f t="shared" si="20"/>
        <v>0</v>
      </c>
      <c r="K233" s="99">
        <f t="shared" si="17"/>
        <v>-18315000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32</v>
      </c>
      <c r="H234" s="99">
        <f t="shared" si="15"/>
        <v>0</v>
      </c>
      <c r="I234" s="99">
        <f t="shared" si="13"/>
        <v>-4427520</v>
      </c>
      <c r="J234" s="99">
        <f t="shared" si="20"/>
        <v>0</v>
      </c>
      <c r="K234" s="99">
        <f t="shared" si="17"/>
        <v>-4427520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31</v>
      </c>
      <c r="H235" s="99">
        <f t="shared" si="15"/>
        <v>0</v>
      </c>
      <c r="I235" s="99">
        <f t="shared" si="13"/>
        <v>-93027900</v>
      </c>
      <c r="J235" s="99">
        <f t="shared" si="20"/>
        <v>0</v>
      </c>
      <c r="K235" s="99">
        <f t="shared" si="17"/>
        <v>-93027900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29</v>
      </c>
      <c r="H236" s="99">
        <f t="shared" si="15"/>
        <v>0</v>
      </c>
      <c r="I236" s="99">
        <f t="shared" si="13"/>
        <v>-1595000</v>
      </c>
      <c r="J236" s="99">
        <f t="shared" si="20"/>
        <v>0</v>
      </c>
      <c r="K236" s="99">
        <f t="shared" si="17"/>
        <v>-1595000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25</v>
      </c>
      <c r="H237" s="99">
        <f t="shared" si="15"/>
        <v>1</v>
      </c>
      <c r="I237" s="99">
        <f t="shared" si="13"/>
        <v>144840000</v>
      </c>
      <c r="J237" s="99">
        <f t="shared" si="20"/>
        <v>0</v>
      </c>
      <c r="K237" s="99">
        <f t="shared" si="17"/>
        <v>144840000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23</v>
      </c>
      <c r="H238" s="99">
        <f t="shared" si="15"/>
        <v>0</v>
      </c>
      <c r="I238" s="99">
        <f t="shared" si="13"/>
        <v>-172500</v>
      </c>
      <c r="J238" s="99">
        <f t="shared" si="20"/>
        <v>0</v>
      </c>
      <c r="K238" s="99">
        <f t="shared" si="17"/>
        <v>-172500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22</v>
      </c>
      <c r="H239" s="99">
        <f t="shared" si="15"/>
        <v>0</v>
      </c>
      <c r="I239" s="99">
        <f t="shared" si="13"/>
        <v>-90167506</v>
      </c>
      <c r="J239" s="99">
        <f t="shared" si="20"/>
        <v>0</v>
      </c>
      <c r="K239" s="99">
        <f t="shared" si="17"/>
        <v>-90167506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22</v>
      </c>
      <c r="H240" s="99">
        <f t="shared" si="15"/>
        <v>0</v>
      </c>
      <c r="I240" s="99">
        <f t="shared" si="13"/>
        <v>-730950</v>
      </c>
      <c r="J240" s="99">
        <f t="shared" si="20"/>
        <v>0</v>
      </c>
      <c r="K240" s="99">
        <f t="shared" si="17"/>
        <v>-730950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22</v>
      </c>
      <c r="H241" s="99">
        <f t="shared" si="15"/>
        <v>0</v>
      </c>
      <c r="I241" s="99">
        <f t="shared" si="13"/>
        <v>-41690000</v>
      </c>
      <c r="J241" s="99">
        <f t="shared" si="20"/>
        <v>0</v>
      </c>
      <c r="K241" s="99">
        <f t="shared" si="17"/>
        <v>-41690000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15</v>
      </c>
      <c r="H242" s="99">
        <f t="shared" si="15"/>
        <v>1</v>
      </c>
      <c r="I242" s="99">
        <f t="shared" si="13"/>
        <v>35000000</v>
      </c>
      <c r="J242" s="99">
        <f t="shared" si="20"/>
        <v>0</v>
      </c>
      <c r="K242" s="99">
        <f t="shared" si="17"/>
        <v>35000000</v>
      </c>
    </row>
    <row r="243" spans="1:13">
      <c r="A243" s="99" t="s">
        <v>4474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13</v>
      </c>
      <c r="H243" s="99">
        <f t="shared" si="15"/>
        <v>0</v>
      </c>
      <c r="I243" s="99">
        <f t="shared" si="13"/>
        <v>-32500000</v>
      </c>
      <c r="J243" s="99">
        <f t="shared" si="20"/>
        <v>0</v>
      </c>
      <c r="K243" s="99">
        <f t="shared" si="17"/>
        <v>-32500000</v>
      </c>
    </row>
    <row r="244" spans="1:13">
      <c r="A244" s="99" t="s">
        <v>4484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11</v>
      </c>
      <c r="H244" s="99">
        <f t="shared" si="15"/>
        <v>1</v>
      </c>
      <c r="I244" s="99">
        <f t="shared" si="13"/>
        <v>11000000</v>
      </c>
      <c r="J244" s="99">
        <f t="shared" si="20"/>
        <v>0</v>
      </c>
      <c r="K244" s="99">
        <f t="shared" si="17"/>
        <v>11000000</v>
      </c>
    </row>
    <row r="245" spans="1:13">
      <c r="A245" s="99" t="s">
        <v>4492</v>
      </c>
      <c r="B245" s="18">
        <v>3000000</v>
      </c>
      <c r="C245" s="18">
        <v>0</v>
      </c>
      <c r="D245" s="18">
        <f t="shared" si="18"/>
        <v>3000000</v>
      </c>
      <c r="E245" s="99" t="s">
        <v>4494</v>
      </c>
      <c r="F245" s="99">
        <v>2</v>
      </c>
      <c r="G245" s="36">
        <f t="shared" si="21"/>
        <v>9</v>
      </c>
      <c r="H245" s="99">
        <f t="shared" si="15"/>
        <v>1</v>
      </c>
      <c r="I245" s="99">
        <f t="shared" si="13"/>
        <v>24000000</v>
      </c>
      <c r="J245" s="99">
        <f t="shared" si="20"/>
        <v>0</v>
      </c>
      <c r="K245" s="99">
        <f t="shared" si="17"/>
        <v>24000000</v>
      </c>
    </row>
    <row r="246" spans="1:13">
      <c r="A246" s="99" t="s">
        <v>4483</v>
      </c>
      <c r="B246" s="18">
        <v>-4040700</v>
      </c>
      <c r="C246" s="18">
        <v>0</v>
      </c>
      <c r="D246" s="18">
        <f t="shared" si="18"/>
        <v>-4040700</v>
      </c>
      <c r="E246" s="99" t="s">
        <v>4528</v>
      </c>
      <c r="F246" s="99">
        <v>0</v>
      </c>
      <c r="G246" s="36">
        <f t="shared" si="21"/>
        <v>7</v>
      </c>
      <c r="H246" s="99">
        <f t="shared" si="15"/>
        <v>0</v>
      </c>
      <c r="I246" s="99">
        <f t="shared" si="13"/>
        <v>-28284900</v>
      </c>
      <c r="J246" s="99">
        <f t="shared" si="20"/>
        <v>0</v>
      </c>
      <c r="K246" s="99">
        <f t="shared" si="17"/>
        <v>-28284900</v>
      </c>
    </row>
    <row r="247" spans="1:13">
      <c r="A247" s="99" t="s">
        <v>4483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7</v>
      </c>
      <c r="H247" s="99">
        <f t="shared" si="15"/>
        <v>1</v>
      </c>
      <c r="I247" s="99">
        <f t="shared" si="13"/>
        <v>2940000</v>
      </c>
      <c r="J247" s="99">
        <f t="shared" si="20"/>
        <v>0</v>
      </c>
      <c r="K247" s="99">
        <f t="shared" si="17"/>
        <v>2940000</v>
      </c>
    </row>
    <row r="248" spans="1:13">
      <c r="A248" s="99" t="s">
        <v>4533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6</v>
      </c>
      <c r="H248" s="99">
        <f t="shared" si="15"/>
        <v>1</v>
      </c>
      <c r="I248" s="99">
        <f t="shared" si="13"/>
        <v>7000000</v>
      </c>
      <c r="J248" s="99">
        <f t="shared" si="20"/>
        <v>0</v>
      </c>
      <c r="K248" s="99">
        <f t="shared" si="17"/>
        <v>7000000</v>
      </c>
      <c r="M248" t="s">
        <v>25</v>
      </c>
    </row>
    <row r="249" spans="1:13">
      <c r="A249" s="99" t="s">
        <v>4533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6</v>
      </c>
      <c r="H249" s="99">
        <f t="shared" si="15"/>
        <v>0</v>
      </c>
      <c r="I249" s="99">
        <f t="shared" si="13"/>
        <v>-9000000</v>
      </c>
      <c r="J249" s="99">
        <f t="shared" si="20"/>
        <v>0</v>
      </c>
      <c r="K249" s="99">
        <f t="shared" si="17"/>
        <v>-9000000</v>
      </c>
    </row>
    <row r="250" spans="1:13">
      <c r="A250" s="99" t="s">
        <v>4543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5</v>
      </c>
      <c r="H250" s="99">
        <f t="shared" si="15"/>
        <v>0</v>
      </c>
      <c r="I250" s="99">
        <f t="shared" si="13"/>
        <v>-500000</v>
      </c>
      <c r="J250" s="99">
        <f t="shared" si="20"/>
        <v>0</v>
      </c>
      <c r="K250" s="99">
        <f t="shared" si="17"/>
        <v>-500000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4</v>
      </c>
      <c r="H251" s="99">
        <f t="shared" si="15"/>
        <v>0</v>
      </c>
      <c r="I251" s="99">
        <f t="shared" si="13"/>
        <v>-55600</v>
      </c>
      <c r="J251" s="99">
        <f t="shared" si="20"/>
        <v>0</v>
      </c>
      <c r="K251" s="99">
        <f t="shared" si="17"/>
        <v>-55600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4</v>
      </c>
      <c r="H252" s="99">
        <f t="shared" si="15"/>
        <v>1</v>
      </c>
      <c r="I252" s="99">
        <f t="shared" si="13"/>
        <v>900000</v>
      </c>
      <c r="J252" s="99">
        <f t="shared" si="20"/>
        <v>0</v>
      </c>
      <c r="K252" s="99">
        <f t="shared" si="17"/>
        <v>900000</v>
      </c>
    </row>
    <row r="253" spans="1:13">
      <c r="A253" s="99" t="s">
        <v>4555</v>
      </c>
      <c r="B253" s="18">
        <v>12000000</v>
      </c>
      <c r="C253" s="18">
        <v>0</v>
      </c>
      <c r="D253" s="18">
        <f t="shared" si="18"/>
        <v>12000000</v>
      </c>
      <c r="E253" s="99" t="s">
        <v>4557</v>
      </c>
      <c r="F253" s="99">
        <v>1</v>
      </c>
      <c r="G253" s="36">
        <f t="shared" si="21"/>
        <v>2</v>
      </c>
      <c r="H253" s="99">
        <f t="shared" si="15"/>
        <v>1</v>
      </c>
      <c r="I253" s="99">
        <f t="shared" si="13"/>
        <v>12000000</v>
      </c>
      <c r="J253" s="99">
        <f t="shared" si="20"/>
        <v>0</v>
      </c>
      <c r="K253" s="99">
        <f t="shared" si="17"/>
        <v>12000000</v>
      </c>
    </row>
    <row r="254" spans="1:13">
      <c r="A254" s="99" t="s">
        <v>4558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</v>
      </c>
      <c r="H254" s="99">
        <f t="shared" si="15"/>
        <v>1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15643170</v>
      </c>
      <c r="C267" s="29">
        <f>SUM(C2:C256)</f>
        <v>7968789</v>
      </c>
      <c r="D267" s="29">
        <f>SUM(D2:D254)</f>
        <v>7674381</v>
      </c>
      <c r="E267" s="11"/>
      <c r="F267" s="11"/>
      <c r="G267" s="11"/>
      <c r="H267" s="11"/>
      <c r="I267" s="29">
        <f>SUM(I2:I266)</f>
        <v>18830163141</v>
      </c>
      <c r="J267" s="29">
        <f>SUM(J2:J266)</f>
        <v>8679716640</v>
      </c>
      <c r="K267" s="29">
        <f>SUM(K2:K266)</f>
        <v>10150446501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19352685.653648511</v>
      </c>
      <c r="J270" s="29">
        <f>J267/G2</f>
        <v>8920572.0863309354</v>
      </c>
      <c r="K270" s="29">
        <f>K267/G2</f>
        <v>10432113.567317575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8871020</v>
      </c>
      <c r="G274" t="s">
        <v>25</v>
      </c>
      <c r="J274">
        <f>J267/I267*1448696</f>
        <v>667772.80065740668</v>
      </c>
      <c r="K274">
        <f>K267/I267*1448696</f>
        <v>780923.19934259332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1239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3446012.152411575</v>
      </c>
      <c r="C8" s="99">
        <f>B2*B4*B5/(B1*B3)+B7/B6</f>
        <v>292.03492817047243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403987.84758842504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1089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8" t="s">
        <v>1090</v>
      </c>
      <c r="R23" s="209" t="s">
        <v>1091</v>
      </c>
      <c r="S23" s="208" t="s">
        <v>1092</v>
      </c>
      <c r="T23" s="210" t="s">
        <v>1093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2"/>
  <sheetViews>
    <sheetView tabSelected="1" topLeftCell="K39" zoomScaleNormal="100" workbookViewId="0">
      <selection activeCell="P16" sqref="P1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7674381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4504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74</v>
      </c>
      <c r="T20" s="169" t="s">
        <v>4320</v>
      </c>
      <c r="U20" s="169">
        <v>192.1</v>
      </c>
      <c r="V20" s="169">
        <f t="shared" ref="V20:V30" si="4">U20*(1+$N$80+$Q$15*S20/36500)</f>
        <v>205.15648438356166</v>
      </c>
      <c r="W20" s="32">
        <f t="shared" ref="W20:W30" si="5">V20*(1+$W$19/100)</f>
        <v>209.2596140712329</v>
      </c>
      <c r="X20" s="32">
        <f t="shared" ref="X20:X30" si="6">V20*(1+$X$19/100)</f>
        <v>213.36274375890414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243</v>
      </c>
      <c r="AM20" s="113">
        <f>AJ20*AL20</f>
        <v>4374000000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4517</v>
      </c>
      <c r="L21" s="117">
        <f>-N33</f>
        <v>78731725.689743653</v>
      </c>
      <c r="M21" s="169" t="s">
        <v>4312</v>
      </c>
      <c r="N21" s="113">
        <f t="shared" ref="N21:N30" si="7">O21*P21</f>
        <v>11466339.5</v>
      </c>
      <c r="O21" s="99">
        <v>64745</v>
      </c>
      <c r="P21" s="190">
        <f>P44</f>
        <v>177.1</v>
      </c>
      <c r="Q21" s="170">
        <v>1450345</v>
      </c>
      <c r="R21" s="169" t="s">
        <v>4316</v>
      </c>
      <c r="S21" s="196">
        <f>S20-36</f>
        <v>38</v>
      </c>
      <c r="T21" s="169" t="s">
        <v>4321</v>
      </c>
      <c r="U21" s="169">
        <v>313.7</v>
      </c>
      <c r="V21" s="169">
        <f t="shared" si="4"/>
        <v>326.35800986301371</v>
      </c>
      <c r="W21" s="32">
        <f t="shared" si="5"/>
        <v>332.88517006027399</v>
      </c>
      <c r="X21" s="32">
        <f t="shared" si="6"/>
        <v>339.41233025753428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242</v>
      </c>
      <c r="AM21" s="113">
        <f t="shared" ref="AM21:AM96" si="9">AJ21*AL21</f>
        <v>605000000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268695807.68974364</v>
      </c>
      <c r="G22" s="95">
        <f t="shared" si="0"/>
        <v>-721394.97355034947</v>
      </c>
      <c r="H22" s="11"/>
      <c r="I22" s="96"/>
      <c r="J22" s="96"/>
      <c r="K22" s="169" t="s">
        <v>4520</v>
      </c>
      <c r="L22" s="117">
        <f>-'آذر 97'!D46</f>
        <v>-1856049</v>
      </c>
      <c r="M22" s="169" t="s">
        <v>4325</v>
      </c>
      <c r="N22" s="113">
        <f t="shared" si="7"/>
        <v>9813321.5999999996</v>
      </c>
      <c r="O22" s="99">
        <v>33504</v>
      </c>
      <c r="P22" s="190">
        <f>P47</f>
        <v>292.89999999999998</v>
      </c>
      <c r="Q22" s="170">
        <v>400069</v>
      </c>
      <c r="R22" s="169" t="s">
        <v>4322</v>
      </c>
      <c r="S22" s="196">
        <f>S21-1</f>
        <v>37</v>
      </c>
      <c r="T22" s="169" t="s">
        <v>4323</v>
      </c>
      <c r="U22" s="169">
        <v>314.8</v>
      </c>
      <c r="V22" s="169">
        <f t="shared" si="4"/>
        <v>327.2609052054795</v>
      </c>
      <c r="W22" s="32">
        <f t="shared" si="5"/>
        <v>333.80612330958911</v>
      </c>
      <c r="X22" s="32">
        <f t="shared" si="6"/>
        <v>340.35134141369872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241</v>
      </c>
      <c r="AM22" s="113">
        <f t="shared" si="9"/>
        <v>1928000000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4476</v>
      </c>
      <c r="N23" s="113">
        <f t="shared" si="7"/>
        <v>204766.80000000002</v>
      </c>
      <c r="O23" s="99">
        <v>399</v>
      </c>
      <c r="P23" s="190">
        <f>P46</f>
        <v>513.20000000000005</v>
      </c>
      <c r="Q23" s="170">
        <v>8690518</v>
      </c>
      <c r="R23" s="169" t="s">
        <v>4322</v>
      </c>
      <c r="S23" s="196">
        <f>S22</f>
        <v>37</v>
      </c>
      <c r="T23" s="169" t="s">
        <v>4324</v>
      </c>
      <c r="U23" s="169">
        <v>313</v>
      </c>
      <c r="V23" s="169">
        <f t="shared" si="4"/>
        <v>325.3896547945206</v>
      </c>
      <c r="W23" s="32">
        <f t="shared" si="5"/>
        <v>331.897447890411</v>
      </c>
      <c r="X23" s="32">
        <f t="shared" si="6"/>
        <v>338.40524098630141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240</v>
      </c>
      <c r="AM23" s="113">
        <f t="shared" si="9"/>
        <v>-19092480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3652190.3000000003</v>
      </c>
      <c r="O24" s="99">
        <v>781</v>
      </c>
      <c r="P24" s="99">
        <f>P48</f>
        <v>4676.3</v>
      </c>
      <c r="Q24" s="170">
        <v>595156</v>
      </c>
      <c r="R24" s="169" t="s">
        <v>4412</v>
      </c>
      <c r="S24" s="197">
        <f>S23-16</f>
        <v>21</v>
      </c>
      <c r="T24" s="169" t="s">
        <v>4415</v>
      </c>
      <c r="U24" s="169">
        <v>5808.5</v>
      </c>
      <c r="V24" s="169">
        <f t="shared" si="4"/>
        <v>5967.1277479452056</v>
      </c>
      <c r="W24" s="32">
        <f t="shared" si="5"/>
        <v>6086.4703029041102</v>
      </c>
      <c r="X24" s="32">
        <f t="shared" si="6"/>
        <v>6205.812857863014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239</v>
      </c>
      <c r="AM24" s="113">
        <f t="shared" si="9"/>
        <v>39554500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134145.9</v>
      </c>
      <c r="O25" s="69">
        <v>749</v>
      </c>
      <c r="P25" s="99">
        <f>P50</f>
        <v>179.1</v>
      </c>
      <c r="Q25" s="170">
        <v>142593</v>
      </c>
      <c r="R25" s="169" t="s">
        <v>4439</v>
      </c>
      <c r="S25" s="169">
        <f>S24-5</f>
        <v>16</v>
      </c>
      <c r="T25" s="169" t="s">
        <v>4448</v>
      </c>
      <c r="U25" s="169">
        <v>189.5</v>
      </c>
      <c r="V25" s="169">
        <f t="shared" si="4"/>
        <v>193.94831780821917</v>
      </c>
      <c r="W25" s="32">
        <f t="shared" si="5"/>
        <v>197.82728416438357</v>
      </c>
      <c r="X25" s="32">
        <f t="shared" si="6"/>
        <v>201.70625052054794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227</v>
      </c>
      <c r="AM25" s="113">
        <f t="shared" si="9"/>
        <v>-6544484229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14</v>
      </c>
      <c r="T26" s="19" t="s">
        <v>4463</v>
      </c>
      <c r="U26" s="169">
        <v>5474</v>
      </c>
      <c r="V26" s="169">
        <f t="shared" si="4"/>
        <v>5594.0980602739737</v>
      </c>
      <c r="W26" s="32">
        <f t="shared" si="5"/>
        <v>5705.9800214794532</v>
      </c>
      <c r="X26" s="32">
        <f t="shared" si="6"/>
        <v>5817.8619826849326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221</v>
      </c>
      <c r="AM26" s="113">
        <f t="shared" si="9"/>
        <v>4088500000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4506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14</v>
      </c>
      <c r="T27" s="19" t="s">
        <v>4464</v>
      </c>
      <c r="U27" s="169">
        <v>5349</v>
      </c>
      <c r="V27" s="169">
        <f t="shared" si="4"/>
        <v>5466.3555945205489</v>
      </c>
      <c r="W27" s="32">
        <f t="shared" si="5"/>
        <v>5575.6827064109602</v>
      </c>
      <c r="X27" s="32">
        <f t="shared" si="6"/>
        <v>5685.0098183013715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220</v>
      </c>
      <c r="AM27" s="113">
        <f t="shared" si="9"/>
        <v>-4081000000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1002563.1</v>
      </c>
      <c r="O28" s="69">
        <v>5661</v>
      </c>
      <c r="P28" s="99">
        <f>P44</f>
        <v>177.1</v>
      </c>
      <c r="Q28" s="170">
        <v>1353959</v>
      </c>
      <c r="R28" s="169" t="s">
        <v>4459</v>
      </c>
      <c r="S28" s="204">
        <f>S27</f>
        <v>14</v>
      </c>
      <c r="T28" s="19" t="s">
        <v>4522</v>
      </c>
      <c r="U28" s="169">
        <v>192.2</v>
      </c>
      <c r="V28" s="169">
        <f t="shared" si="4"/>
        <v>196.41681534246578</v>
      </c>
      <c r="W28" s="32">
        <f t="shared" si="5"/>
        <v>200.34515164931511</v>
      </c>
      <c r="X28" s="32">
        <f t="shared" si="6"/>
        <v>204.27348795616442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219</v>
      </c>
      <c r="AM28" s="113">
        <f t="shared" si="9"/>
        <v>-14226459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1638048.5999999999</v>
      </c>
      <c r="O29" s="36">
        <v>9146</v>
      </c>
      <c r="P29" s="99">
        <f>P50</f>
        <v>179.1</v>
      </c>
      <c r="Q29" s="170">
        <v>1799855</v>
      </c>
      <c r="R29" s="169" t="s">
        <v>4468</v>
      </c>
      <c r="S29" s="169">
        <f>S28-3</f>
        <v>11</v>
      </c>
      <c r="T29" s="19" t="s">
        <v>4469</v>
      </c>
      <c r="U29" s="169">
        <v>184.6</v>
      </c>
      <c r="V29" s="169">
        <f t="shared" si="4"/>
        <v>188.22524054794519</v>
      </c>
      <c r="W29" s="32">
        <f t="shared" si="5"/>
        <v>191.98974535890409</v>
      </c>
      <c r="X29" s="32">
        <f t="shared" si="6"/>
        <v>195.75425016986301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214</v>
      </c>
      <c r="AM29" s="113">
        <f t="shared" si="9"/>
        <v>1369600000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4479</v>
      </c>
      <c r="N30" s="113">
        <f t="shared" si="7"/>
        <v>204253.6</v>
      </c>
      <c r="O30" s="36">
        <v>398</v>
      </c>
      <c r="P30" s="99">
        <f>P46</f>
        <v>513.20000000000005</v>
      </c>
      <c r="Q30" s="170">
        <v>146296</v>
      </c>
      <c r="R30" s="169" t="s">
        <v>4474</v>
      </c>
      <c r="S30" s="203">
        <f>S29-2</f>
        <v>9</v>
      </c>
      <c r="T30" s="169" t="s">
        <v>4475</v>
      </c>
      <c r="U30" s="169">
        <v>365</v>
      </c>
      <c r="V30" s="169">
        <f t="shared" si="4"/>
        <v>371.60800000000006</v>
      </c>
      <c r="W30" s="32">
        <f t="shared" si="5"/>
        <v>379.04016000000007</v>
      </c>
      <c r="X30" s="32">
        <f t="shared" si="6"/>
        <v>386.47232000000008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213</v>
      </c>
      <c r="AM30" s="113">
        <f t="shared" si="9"/>
        <v>-36210000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208</v>
      </c>
      <c r="AM31" s="113">
        <f t="shared" si="9"/>
        <v>-1310400000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-2259375.8999999985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207</v>
      </c>
      <c r="AM32" s="113">
        <f t="shared" si="9"/>
        <v>-10767105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-S88</f>
        <v>-78731725.689743653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191</v>
      </c>
      <c r="AM33" s="113">
        <f t="shared" si="9"/>
        <v>3823323400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191</v>
      </c>
      <c r="AM34" s="113">
        <f t="shared" si="9"/>
        <v>193763006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4483</v>
      </c>
      <c r="AU34" s="99" t="s">
        <v>4540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179</v>
      </c>
      <c r="AM35" s="113">
        <f t="shared" si="9"/>
        <v>64440000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4533</v>
      </c>
      <c r="AU35" s="99" t="s">
        <v>4539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4488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177</v>
      </c>
      <c r="AM36" s="113">
        <f t="shared" si="9"/>
        <v>-61950000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>
        <v>0</v>
      </c>
      <c r="R37" s="169" t="s">
        <v>4175</v>
      </c>
      <c r="S37" s="169">
        <f>S50</f>
        <v>74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177</v>
      </c>
      <c r="AM37" s="113">
        <f t="shared" si="9"/>
        <v>177000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4483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4486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15</v>
      </c>
      <c r="T38" s="195" t="s">
        <v>4454</v>
      </c>
      <c r="U38" s="169">
        <v>188.8</v>
      </c>
      <c r="V38" s="169">
        <f>U38*(1+$N$80+$Q$15*S38/36500)</f>
        <v>193.08705315068497</v>
      </c>
      <c r="W38" s="32">
        <f>V38*(1+$W$19/100)</f>
        <v>196.94879421369868</v>
      </c>
      <c r="X38" s="32">
        <f>V38*(1+$X$19/100)</f>
        <v>200.81053527671236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176</v>
      </c>
      <c r="AM38" s="113">
        <f t="shared" si="9"/>
        <v>5915360000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4487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11</v>
      </c>
      <c r="T39" s="195" t="s">
        <v>4470</v>
      </c>
      <c r="U39" s="169">
        <v>184.6</v>
      </c>
      <c r="V39" s="169">
        <f>U39*(1+$N$80+$Q$15*S39/36500)</f>
        <v>188.22524054794519</v>
      </c>
      <c r="W39" s="32">
        <f>V39*(1+$W$19/100)</f>
        <v>191.98974535890409</v>
      </c>
      <c r="X39" s="32">
        <f>V39*(1+$X$19/100)</f>
        <v>195.75425016986301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172</v>
      </c>
      <c r="AM39" s="113">
        <f t="shared" si="9"/>
        <v>-2683200000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4474</v>
      </c>
      <c r="S40" s="203">
        <f>S39-2</f>
        <v>9</v>
      </c>
      <c r="T40" s="194" t="s">
        <v>4478</v>
      </c>
      <c r="U40" s="169">
        <v>365</v>
      </c>
      <c r="V40" s="169">
        <f>U40*(1+$N$80+$Q$15*S40/36500)</f>
        <v>371.60800000000006</v>
      </c>
      <c r="W40" s="32">
        <f>V40*(1+$W$19/100)</f>
        <v>379.04016000000007</v>
      </c>
      <c r="X40" s="32">
        <f>V40*(1+$X$19/100)</f>
        <v>386.47232000000008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169</v>
      </c>
      <c r="AM40" s="113">
        <f t="shared" si="9"/>
        <v>1267500000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4505</v>
      </c>
      <c r="N41" s="113">
        <v>13376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165</v>
      </c>
      <c r="AM41" s="113">
        <f t="shared" si="9"/>
        <v>-16170000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-85139.700000000186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164</v>
      </c>
      <c r="AM42" s="113">
        <f t="shared" si="9"/>
        <v>-4264000000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4489</v>
      </c>
      <c r="L43" s="117">
        <v>145929</v>
      </c>
      <c r="M43" s="32" t="s">
        <v>4410</v>
      </c>
      <c r="N43" s="113">
        <f t="shared" ref="N43:N51" si="13">O43*P43</f>
        <v>2046972.2</v>
      </c>
      <c r="O43" s="99">
        <v>611</v>
      </c>
      <c r="P43" s="99">
        <v>3350.2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164</v>
      </c>
      <c r="AM43" s="113">
        <f t="shared" si="9"/>
        <v>4100000000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191276855</v>
      </c>
      <c r="O44" s="99">
        <v>1080050</v>
      </c>
      <c r="P44" s="99">
        <v>177.1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163</v>
      </c>
      <c r="AM44" s="113">
        <f t="shared" si="9"/>
        <v>17930000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4531</v>
      </c>
      <c r="N45" s="113">
        <f t="shared" si="13"/>
        <v>818556.2</v>
      </c>
      <c r="O45" s="99">
        <v>4622</v>
      </c>
      <c r="P45" s="99">
        <f>P44</f>
        <v>177.1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162</v>
      </c>
      <c r="AM45" s="113">
        <f t="shared" si="9"/>
        <v>61560000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4477</v>
      </c>
      <c r="N46" s="113">
        <f t="shared" si="13"/>
        <v>204253.6</v>
      </c>
      <c r="O46" s="99">
        <v>398</v>
      </c>
      <c r="P46" s="99">
        <v>513.20000000000005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155</v>
      </c>
      <c r="AM46" s="113">
        <f t="shared" si="9"/>
        <v>69750000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8595736.2999999989</v>
      </c>
      <c r="O47" s="69">
        <v>29347</v>
      </c>
      <c r="P47" s="69">
        <v>292.89999999999998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149</v>
      </c>
      <c r="AM47" s="113">
        <f t="shared" si="9"/>
        <v>417200000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3586722.1</v>
      </c>
      <c r="O48" s="69">
        <v>767</v>
      </c>
      <c r="P48" s="69">
        <v>4676.3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148</v>
      </c>
      <c r="AM48" s="113">
        <f t="shared" si="9"/>
        <v>-222000000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4608415.8</v>
      </c>
      <c r="O49" s="69">
        <v>10431</v>
      </c>
      <c r="P49" s="69">
        <v>441.8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148</v>
      </c>
      <c r="AM49" s="113">
        <f t="shared" si="9"/>
        <v>451400000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2342090.6999999997</v>
      </c>
      <c r="O50" s="69">
        <v>13077</v>
      </c>
      <c r="P50" s="69">
        <v>179.1</v>
      </c>
      <c r="Q50" s="170">
        <v>184971545</v>
      </c>
      <c r="R50" s="169" t="s">
        <v>4175</v>
      </c>
      <c r="S50" s="196">
        <v>74</v>
      </c>
      <c r="T50" s="169" t="s">
        <v>4363</v>
      </c>
      <c r="U50" s="169">
        <v>192</v>
      </c>
      <c r="V50" s="99">
        <f t="shared" ref="V50:V74" si="14">U50*(1+$N$80+$Q$15*S50/36500)</f>
        <v>205.0496876712329</v>
      </c>
      <c r="W50" s="32">
        <f t="shared" ref="W50:W74" si="15">V50*(1+$W$19/100)</f>
        <v>209.15068142465756</v>
      </c>
      <c r="X50" s="32">
        <f t="shared" ref="X50:X74" si="16">V50*(1+$X$19/100)</f>
        <v>213.25167517808222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145</v>
      </c>
      <c r="AM50" s="113">
        <f t="shared" si="9"/>
        <v>-1203443740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7900000</v>
      </c>
      <c r="O51" s="69">
        <v>20</v>
      </c>
      <c r="P51" s="69">
        <v>395000</v>
      </c>
      <c r="Q51" s="170">
        <v>883646</v>
      </c>
      <c r="R51" s="169" t="s">
        <v>4264</v>
      </c>
      <c r="S51" s="196">
        <f>S50-21</f>
        <v>53</v>
      </c>
      <c r="T51" s="169" t="s">
        <v>4541</v>
      </c>
      <c r="U51" s="169">
        <v>190.3</v>
      </c>
      <c r="V51" s="99">
        <f t="shared" si="14"/>
        <v>200.16848876712334</v>
      </c>
      <c r="W51" s="32">
        <f t="shared" si="15"/>
        <v>204.1718585424658</v>
      </c>
      <c r="X51" s="32">
        <f t="shared" si="16"/>
        <v>208.17522831780826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143</v>
      </c>
      <c r="AM51" s="113">
        <f t="shared" si="9"/>
        <v>715000000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42</v>
      </c>
      <c r="T52" s="169" t="s">
        <v>4327</v>
      </c>
      <c r="U52" s="169">
        <v>214.57</v>
      </c>
      <c r="V52" s="99">
        <f t="shared" si="14"/>
        <v>223.88645304109593</v>
      </c>
      <c r="W52" s="32">
        <f t="shared" si="15"/>
        <v>228.36418210191786</v>
      </c>
      <c r="X52" s="32">
        <f t="shared" si="16"/>
        <v>232.84191116273979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129</v>
      </c>
      <c r="AM52" s="113">
        <f t="shared" si="9"/>
        <v>-11610000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31</v>
      </c>
      <c r="T53" s="169" t="s">
        <v>4362</v>
      </c>
      <c r="U53" s="169">
        <v>206.8</v>
      </c>
      <c r="V53" s="99">
        <f t="shared" si="14"/>
        <v>214.03403397260277</v>
      </c>
      <c r="W53" s="32">
        <f t="shared" si="15"/>
        <v>218.31471465205482</v>
      </c>
      <c r="X53" s="32">
        <f t="shared" si="16"/>
        <v>222.59539533150689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128</v>
      </c>
      <c r="AM53" s="113">
        <f t="shared" si="9"/>
        <v>716800000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25</v>
      </c>
      <c r="T54" s="169" t="s">
        <v>4394</v>
      </c>
      <c r="U54" s="169">
        <v>310</v>
      </c>
      <c r="V54" s="99">
        <f t="shared" si="14"/>
        <v>319.41720547945209</v>
      </c>
      <c r="W54" s="32">
        <f t="shared" si="15"/>
        <v>325.80554958904116</v>
      </c>
      <c r="X54" s="32">
        <f t="shared" si="16"/>
        <v>332.19389369863018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124</v>
      </c>
      <c r="AM54" s="113">
        <f t="shared" si="9"/>
        <v>93000000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-14659098.299999999</v>
      </c>
      <c r="O55" s="99">
        <v>82773</v>
      </c>
      <c r="P55" s="99">
        <f>P44</f>
        <v>177.1</v>
      </c>
      <c r="Q55" s="170">
        <v>1429825</v>
      </c>
      <c r="R55" s="169" t="s">
        <v>4389</v>
      </c>
      <c r="S55" s="169">
        <f>S54-1</f>
        <v>24</v>
      </c>
      <c r="T55" s="169" t="s">
        <v>4399</v>
      </c>
      <c r="U55" s="169">
        <v>203.9</v>
      </c>
      <c r="V55" s="99">
        <f t="shared" si="14"/>
        <v>209.93767452054794</v>
      </c>
      <c r="W55" s="32">
        <f t="shared" si="15"/>
        <v>214.13642801095889</v>
      </c>
      <c r="X55" s="32">
        <f t="shared" si="16"/>
        <v>218.33518150136987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122</v>
      </c>
      <c r="AM55" s="171">
        <f t="shared" si="9"/>
        <v>-517524000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24</v>
      </c>
      <c r="T56" s="169" t="s">
        <v>4401</v>
      </c>
      <c r="U56" s="169">
        <v>203.1</v>
      </c>
      <c r="V56" s="99">
        <f t="shared" si="14"/>
        <v>209.11398575342466</v>
      </c>
      <c r="W56" s="32">
        <f t="shared" si="15"/>
        <v>213.29626546849315</v>
      </c>
      <c r="X56" s="32">
        <f t="shared" si="16"/>
        <v>217.47854518356166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120</v>
      </c>
      <c r="AM56" s="113">
        <f t="shared" si="9"/>
        <v>492000000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4472</v>
      </c>
      <c r="N57" s="113">
        <f>-S89</f>
        <v>-2321870.3901578351</v>
      </c>
      <c r="Q57" s="170">
        <v>2864946</v>
      </c>
      <c r="R57" s="169" t="s">
        <v>4389</v>
      </c>
      <c r="S57" s="198">
        <f>S56</f>
        <v>24</v>
      </c>
      <c r="T57" s="169" t="s">
        <v>4403</v>
      </c>
      <c r="U57" s="169">
        <v>303.60000000000002</v>
      </c>
      <c r="V57" s="99">
        <f t="shared" si="14"/>
        <v>312.58988712328767</v>
      </c>
      <c r="W57" s="32">
        <f t="shared" si="15"/>
        <v>318.84168486575345</v>
      </c>
      <c r="X57" s="32">
        <f t="shared" si="16"/>
        <v>325.09348260821918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120</v>
      </c>
      <c r="AM57" s="113">
        <f t="shared" si="9"/>
        <v>492000000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4491</v>
      </c>
      <c r="N58" s="113">
        <f>-S90</f>
        <v>-5110097.2450197302</v>
      </c>
      <c r="Q58" s="170">
        <v>2412371</v>
      </c>
      <c r="R58" s="169" t="s">
        <v>4391</v>
      </c>
      <c r="S58" s="169">
        <f>S57-1</f>
        <v>23</v>
      </c>
      <c r="T58" s="169" t="s">
        <v>4409</v>
      </c>
      <c r="U58" s="169">
        <v>3930</v>
      </c>
      <c r="V58" s="99">
        <f t="shared" si="14"/>
        <v>4043.356273972603</v>
      </c>
      <c r="W58" s="32">
        <f t="shared" si="15"/>
        <v>4124.2233994520548</v>
      </c>
      <c r="X58" s="32">
        <f t="shared" si="16"/>
        <v>4205.0905249315074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119</v>
      </c>
      <c r="AM58" s="113">
        <f t="shared" si="9"/>
        <v>94010000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21</v>
      </c>
      <c r="T59" s="169" t="s">
        <v>4418</v>
      </c>
      <c r="U59" s="169">
        <v>202.1</v>
      </c>
      <c r="V59" s="99">
        <f t="shared" si="14"/>
        <v>207.61926794520548</v>
      </c>
      <c r="W59" s="32">
        <f t="shared" si="15"/>
        <v>211.77165330410961</v>
      </c>
      <c r="X59" s="32">
        <f t="shared" si="16"/>
        <v>215.9240386630137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104</v>
      </c>
      <c r="AM59" s="173">
        <f t="shared" si="9"/>
        <v>-401960000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18</v>
      </c>
      <c r="T60" s="169" t="s">
        <v>4442</v>
      </c>
      <c r="U60" s="169">
        <v>5560.3</v>
      </c>
      <c r="V60" s="99">
        <f t="shared" si="14"/>
        <v>5699.3532010958907</v>
      </c>
      <c r="W60" s="32">
        <f t="shared" si="15"/>
        <v>5813.3402651178085</v>
      </c>
      <c r="X60" s="32">
        <f t="shared" si="16"/>
        <v>5927.3273291397263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98</v>
      </c>
      <c r="AM60" s="113">
        <f t="shared" si="9"/>
        <v>1842400000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268695807.68974364</v>
      </c>
      <c r="M61" s="169"/>
      <c r="N61" s="113">
        <f>SUM(N16:N57)</f>
        <v>346489483.92009854</v>
      </c>
      <c r="Q61" s="170">
        <v>4629290</v>
      </c>
      <c r="R61" s="169" t="s">
        <v>4423</v>
      </c>
      <c r="S61" s="198">
        <f>S60</f>
        <v>18</v>
      </c>
      <c r="T61" s="169" t="s">
        <v>4431</v>
      </c>
      <c r="U61" s="169">
        <v>441.8</v>
      </c>
      <c r="V61" s="99">
        <f t="shared" si="14"/>
        <v>452.84863123287676</v>
      </c>
      <c r="W61" s="32">
        <f t="shared" si="15"/>
        <v>461.90560385753429</v>
      </c>
      <c r="X61" s="32">
        <f t="shared" si="16"/>
        <v>470.96257648219182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95</v>
      </c>
      <c r="AM61" s="113">
        <f t="shared" si="9"/>
        <v>47500000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8187686</v>
      </c>
      <c r="Q62" s="170">
        <v>4489908</v>
      </c>
      <c r="R62" s="169" t="s">
        <v>4423</v>
      </c>
      <c r="S62" s="169">
        <f>S61</f>
        <v>18</v>
      </c>
      <c r="T62" s="169" t="s">
        <v>4429</v>
      </c>
      <c r="U62" s="169">
        <v>292.60000000000002</v>
      </c>
      <c r="V62" s="99">
        <f t="shared" si="14"/>
        <v>299.91740493150689</v>
      </c>
      <c r="W62" s="32">
        <f t="shared" si="15"/>
        <v>305.91575303013701</v>
      </c>
      <c r="X62" s="32">
        <f t="shared" si="16"/>
        <v>311.91410112876719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94</v>
      </c>
      <c r="AM62" s="113">
        <f t="shared" si="9"/>
        <v>18800000</v>
      </c>
      <c r="AN62" s="20"/>
    </row>
    <row r="63" spans="1:40">
      <c r="E63" s="26"/>
      <c r="K63" s="56" t="s">
        <v>716</v>
      </c>
      <c r="L63" s="1">
        <f>L61+N7</f>
        <v>338695807.68974364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17</v>
      </c>
      <c r="T63" s="169" t="s">
        <v>4438</v>
      </c>
      <c r="U63" s="169">
        <v>196.2</v>
      </c>
      <c r="V63" s="99">
        <f t="shared" si="14"/>
        <v>200.95610301369865</v>
      </c>
      <c r="W63" s="32">
        <f t="shared" si="15"/>
        <v>204.97522507397264</v>
      </c>
      <c r="X63" s="32">
        <f t="shared" si="16"/>
        <v>208.9943471342466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91</v>
      </c>
      <c r="AM63" s="113">
        <f t="shared" si="9"/>
        <v>91000000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16</v>
      </c>
      <c r="T64" s="169" t="s">
        <v>4444</v>
      </c>
      <c r="U64" s="169">
        <v>191.3</v>
      </c>
      <c r="V64" s="99">
        <f t="shared" si="14"/>
        <v>195.79057095890414</v>
      </c>
      <c r="W64" s="32">
        <f t="shared" si="15"/>
        <v>199.70638237808222</v>
      </c>
      <c r="X64" s="32">
        <f t="shared" si="16"/>
        <v>203.62219379726031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88</v>
      </c>
      <c r="AM64" s="113">
        <f t="shared" si="9"/>
        <v>114400000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16</v>
      </c>
      <c r="T65" s="169" t="s">
        <v>4456</v>
      </c>
      <c r="U65" s="169">
        <v>189.5</v>
      </c>
      <c r="V65" s="99">
        <f t="shared" si="14"/>
        <v>193.94831780821917</v>
      </c>
      <c r="W65" s="32">
        <f t="shared" si="15"/>
        <v>197.82728416438357</v>
      </c>
      <c r="X65" s="32">
        <f t="shared" si="16"/>
        <v>201.70625052054794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88</v>
      </c>
      <c r="AM65" s="113">
        <f t="shared" si="9"/>
        <v>87560000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14</v>
      </c>
      <c r="T66" s="169" t="s">
        <v>4460</v>
      </c>
      <c r="U66" s="169">
        <v>188.1</v>
      </c>
      <c r="V66" s="99">
        <f t="shared" si="14"/>
        <v>192.22686246575347</v>
      </c>
      <c r="W66" s="32">
        <f t="shared" si="15"/>
        <v>196.07139971506854</v>
      </c>
      <c r="X66" s="32">
        <f t="shared" si="16"/>
        <v>199.9159369643836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86</v>
      </c>
      <c r="AM66" s="113">
        <f t="shared" si="9"/>
        <v>1118000000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11</v>
      </c>
      <c r="T67" s="169" t="s">
        <v>4523</v>
      </c>
      <c r="U67" s="169">
        <v>184.5</v>
      </c>
      <c r="V67" s="99">
        <f t="shared" si="14"/>
        <v>188.12327671232876</v>
      </c>
      <c r="W67" s="32">
        <f t="shared" si="15"/>
        <v>191.88574224657535</v>
      </c>
      <c r="X67" s="32">
        <f t="shared" si="16"/>
        <v>195.64820778082191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84</v>
      </c>
      <c r="AM67" s="113">
        <f t="shared" si="9"/>
        <v>-260400000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4474</v>
      </c>
      <c r="S68" s="169">
        <f>S67-2</f>
        <v>9</v>
      </c>
      <c r="T68" s="169" t="s">
        <v>4480</v>
      </c>
      <c r="U68" s="169">
        <v>177.5</v>
      </c>
      <c r="V68" s="99">
        <f t="shared" si="14"/>
        <v>180.71347945205483</v>
      </c>
      <c r="W68" s="32">
        <f t="shared" si="15"/>
        <v>184.32774904109593</v>
      </c>
      <c r="X68" s="32">
        <f t="shared" si="16"/>
        <v>187.94201863013703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81</v>
      </c>
      <c r="AM68" s="113">
        <f t="shared" si="9"/>
        <v>3696840000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4474</v>
      </c>
      <c r="S69" s="203">
        <f>S68</f>
        <v>9</v>
      </c>
      <c r="T69" s="169" t="s">
        <v>4485</v>
      </c>
      <c r="U69" s="169">
        <v>4861</v>
      </c>
      <c r="V69" s="99">
        <f t="shared" si="14"/>
        <v>4949.0040767123301</v>
      </c>
      <c r="W69" s="32">
        <f t="shared" si="15"/>
        <v>5047.984158246577</v>
      </c>
      <c r="X69" s="32">
        <f t="shared" si="16"/>
        <v>5146.9642397808238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80</v>
      </c>
      <c r="AM69" s="113">
        <f t="shared" si="9"/>
        <v>2680000000</v>
      </c>
      <c r="AN69" s="20"/>
    </row>
    <row r="70" spans="1:40">
      <c r="G70" t="s">
        <v>4104</v>
      </c>
      <c r="M70" s="122" t="s">
        <v>4490</v>
      </c>
      <c r="N70" s="96"/>
      <c r="Q70" s="170">
        <v>145929</v>
      </c>
      <c r="R70" s="169" t="s">
        <v>4474</v>
      </c>
      <c r="S70" s="203">
        <f>S69</f>
        <v>9</v>
      </c>
      <c r="T70" s="169" t="s">
        <v>4478</v>
      </c>
      <c r="U70" s="169">
        <v>365</v>
      </c>
      <c r="V70" s="99">
        <f t="shared" si="14"/>
        <v>371.60800000000006</v>
      </c>
      <c r="W70" s="32">
        <f t="shared" si="15"/>
        <v>379.04016000000007</v>
      </c>
      <c r="X70" s="32">
        <f t="shared" si="16"/>
        <v>386.47232000000008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79</v>
      </c>
      <c r="AM70" s="117">
        <f t="shared" si="9"/>
        <v>948000000</v>
      </c>
      <c r="AN70" s="20"/>
    </row>
    <row r="71" spans="1:40">
      <c r="G71" t="s">
        <v>4105</v>
      </c>
      <c r="M71" s="122" t="s">
        <v>4551</v>
      </c>
      <c r="N71" s="96"/>
      <c r="P71" t="s">
        <v>25</v>
      </c>
      <c r="Q71" s="170">
        <v>1826179</v>
      </c>
      <c r="R71" s="169" t="s">
        <v>4483</v>
      </c>
      <c r="S71" s="203">
        <f>S70-5</f>
        <v>4</v>
      </c>
      <c r="T71" s="73" t="s">
        <v>4532</v>
      </c>
      <c r="U71" s="169">
        <v>190.3</v>
      </c>
      <c r="V71" s="99">
        <f t="shared" si="14"/>
        <v>193.01529424657539</v>
      </c>
      <c r="W71" s="32">
        <f t="shared" si="15"/>
        <v>196.8756001315069</v>
      </c>
      <c r="X71" s="32">
        <f t="shared" si="16"/>
        <v>200.73590601643841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78</v>
      </c>
      <c r="AM71" s="117">
        <f t="shared" si="9"/>
        <v>1209000000</v>
      </c>
      <c r="AN71" s="20"/>
    </row>
    <row r="72" spans="1:40">
      <c r="G72" t="s">
        <v>4109</v>
      </c>
      <c r="M72" s="122" t="s">
        <v>4554</v>
      </c>
      <c r="N72" s="96"/>
      <c r="P72" s="115"/>
      <c r="Q72" s="170">
        <v>1049976</v>
      </c>
      <c r="R72" s="169" t="s">
        <v>4483</v>
      </c>
      <c r="S72" s="203">
        <f>S71</f>
        <v>4</v>
      </c>
      <c r="T72" s="73" t="s">
        <v>4542</v>
      </c>
      <c r="U72" s="169">
        <v>190.3</v>
      </c>
      <c r="V72" s="99">
        <f t="shared" si="14"/>
        <v>193.01529424657539</v>
      </c>
      <c r="W72" s="32">
        <f t="shared" si="15"/>
        <v>196.8756001315069</v>
      </c>
      <c r="X72" s="32">
        <f t="shared" si="16"/>
        <v>200.73590601643841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74</v>
      </c>
      <c r="AM72" s="117">
        <f t="shared" si="9"/>
        <v>11100000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4543</v>
      </c>
      <c r="S73" s="169">
        <f>S72-2</f>
        <v>2</v>
      </c>
      <c r="T73" s="73" t="s">
        <v>4544</v>
      </c>
      <c r="U73" s="169">
        <v>396500</v>
      </c>
      <c r="V73" s="99">
        <f t="shared" si="14"/>
        <v>401549.12876712333</v>
      </c>
      <c r="W73" s="32">
        <f t="shared" si="15"/>
        <v>409580.1113424658</v>
      </c>
      <c r="X73" s="32">
        <f t="shared" si="16"/>
        <v>417611.09391780826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73</v>
      </c>
      <c r="AM73" s="182">
        <f t="shared" si="9"/>
        <v>2117000000</v>
      </c>
      <c r="AN73" s="181" t="s">
        <v>4189</v>
      </c>
    </row>
    <row r="74" spans="1:40">
      <c r="M74" s="96">
        <f>O44+O45+O21+O28-O55</f>
        <v>1072305</v>
      </c>
      <c r="N74" s="113">
        <f>M74*P44</f>
        <v>189905215.5</v>
      </c>
      <c r="O74" t="s">
        <v>25</v>
      </c>
      <c r="P74" s="115"/>
      <c r="Q74" s="170">
        <v>3894862</v>
      </c>
      <c r="R74" s="169" t="s">
        <v>4552</v>
      </c>
      <c r="S74" s="169">
        <f>S73-2</f>
        <v>0</v>
      </c>
      <c r="T74" s="73" t="s">
        <v>4553</v>
      </c>
      <c r="U74" s="169">
        <v>389000</v>
      </c>
      <c r="V74" s="99">
        <f t="shared" si="14"/>
        <v>393356.80000000005</v>
      </c>
      <c r="W74" s="32">
        <f t="shared" si="15"/>
        <v>401223.93600000005</v>
      </c>
      <c r="X74" s="32">
        <f t="shared" si="16"/>
        <v>409091.07200000004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58</v>
      </c>
      <c r="AM74" s="117">
        <f t="shared" si="9"/>
        <v>-7540000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/>
      <c r="R75" s="169"/>
      <c r="S75" s="169"/>
      <c r="T75" s="73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51</v>
      </c>
      <c r="AM75" s="117">
        <f>AJ75*AL75</f>
        <v>11832000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/>
      <c r="R76" s="169"/>
      <c r="S76" s="169"/>
      <c r="T76" s="169"/>
      <c r="U76" s="169"/>
      <c r="V76" s="99"/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49</v>
      </c>
      <c r="AM76" s="117">
        <f t="shared" si="9"/>
        <v>-8330000</v>
      </c>
      <c r="AN76" s="20"/>
    </row>
    <row r="77" spans="1:40">
      <c r="D77" s="1" t="s">
        <v>305</v>
      </c>
      <c r="E77" s="1">
        <v>70000</v>
      </c>
      <c r="P77" s="115"/>
      <c r="Q77" s="113">
        <f>SUM(N43:N51)-SUM(Q50:Q76)</f>
        <v>-18829614.100000024</v>
      </c>
      <c r="R77" s="112"/>
      <c r="S77" s="112"/>
      <c r="T77" s="112"/>
      <c r="U77" s="169"/>
      <c r="V77" s="99" t="s">
        <v>25</v>
      </c>
      <c r="W77" s="32"/>
      <c r="X77" s="32"/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46</v>
      </c>
      <c r="AM77" s="117">
        <f t="shared" si="9"/>
        <v>-13800000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26"/>
      <c r="R78" s="185"/>
      <c r="S78" s="185"/>
      <c r="T78" t="s">
        <v>25</v>
      </c>
      <c r="U78" s="96" t="s">
        <v>25</v>
      </c>
      <c r="V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43</v>
      </c>
      <c r="AM78" s="117">
        <f t="shared" si="9"/>
        <v>-490200000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R79" t="s">
        <v>25</v>
      </c>
      <c r="T79" t="s">
        <v>25</v>
      </c>
      <c r="U79" s="96" t="s">
        <v>25</v>
      </c>
      <c r="V79" s="96" t="s">
        <v>25</v>
      </c>
      <c r="W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30</v>
      </c>
      <c r="AM79" s="117">
        <f>AJ79*AL79</f>
        <v>-300000000</v>
      </c>
      <c r="AN79" s="20"/>
    </row>
    <row r="80" spans="1:40">
      <c r="D80" s="31" t="s">
        <v>307</v>
      </c>
      <c r="E80" s="1">
        <v>150000</v>
      </c>
      <c r="M80" t="s">
        <v>6</v>
      </c>
      <c r="N80">
        <f>N78+N79</f>
        <v>1.12E-2</v>
      </c>
      <c r="P80" s="115"/>
      <c r="Q80" t="s">
        <v>25</v>
      </c>
      <c r="R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29</v>
      </c>
      <c r="AM80" s="117">
        <f>AJ80*AL80</f>
        <v>-71050000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Q81" t="s">
        <v>25</v>
      </c>
      <c r="S81" t="s">
        <v>25</v>
      </c>
      <c r="T81" t="s">
        <v>25</v>
      </c>
      <c r="U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24</v>
      </c>
      <c r="AM81" s="117">
        <f t="shared" si="9"/>
        <v>-10945944</v>
      </c>
      <c r="AN81" s="20"/>
      <c r="AS81" s="96"/>
      <c r="AU81"/>
    </row>
    <row r="82" spans="4:52">
      <c r="D82" s="31" t="s">
        <v>309</v>
      </c>
      <c r="E82" s="1">
        <v>100000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23</v>
      </c>
      <c r="AM82" s="117">
        <f t="shared" si="9"/>
        <v>-11500000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21</v>
      </c>
      <c r="AM83" s="117">
        <f t="shared" si="9"/>
        <v>-130921770</v>
      </c>
      <c r="AN83" s="20"/>
    </row>
    <row r="84" spans="4:52">
      <c r="D84" s="18" t="s">
        <v>311</v>
      </c>
      <c r="E84" s="18">
        <v>300000</v>
      </c>
      <c r="Q84" s="99" t="s">
        <v>4509</v>
      </c>
      <c r="R84" s="99" t="s">
        <v>4511</v>
      </c>
      <c r="S84" s="99"/>
      <c r="T84" s="99" t="s">
        <v>4512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18</v>
      </c>
      <c r="AM84" s="117">
        <f t="shared" si="9"/>
        <v>35117226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M85" s="199" t="s">
        <v>4473</v>
      </c>
      <c r="P85" t="s">
        <v>25</v>
      </c>
      <c r="Q85" s="113">
        <v>1000</v>
      </c>
      <c r="R85" s="99">
        <v>0.25</v>
      </c>
      <c r="S85" s="99"/>
      <c r="T85" s="99">
        <f>1-R85</f>
        <v>0.75</v>
      </c>
      <c r="U85" s="99"/>
      <c r="V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14</v>
      </c>
      <c r="AM85" s="117">
        <f t="shared" si="9"/>
        <v>8400000</v>
      </c>
      <c r="AN85" s="20"/>
    </row>
    <row r="86" spans="4:52">
      <c r="D86" s="32" t="s">
        <v>313</v>
      </c>
      <c r="E86" s="1">
        <v>20000</v>
      </c>
      <c r="Q86" s="169" t="s">
        <v>4495</v>
      </c>
      <c r="R86" s="169" t="s">
        <v>4514</v>
      </c>
      <c r="S86" s="169" t="s">
        <v>4516</v>
      </c>
      <c r="T86" s="169" t="s">
        <v>180</v>
      </c>
      <c r="U86" s="169" t="s">
        <v>4510</v>
      </c>
      <c r="V86" s="56" t="s">
        <v>4513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4474</v>
      </c>
      <c r="AJ86" s="117">
        <v>7500000</v>
      </c>
      <c r="AK86" s="20">
        <v>2</v>
      </c>
      <c r="AL86" s="99">
        <f t="shared" si="17"/>
        <v>9</v>
      </c>
      <c r="AM86" s="117">
        <f t="shared" si="9"/>
        <v>67500000</v>
      </c>
      <c r="AN86" s="20"/>
    </row>
    <row r="87" spans="4:52">
      <c r="D87" s="32" t="s">
        <v>315</v>
      </c>
      <c r="E87" s="1">
        <v>50000</v>
      </c>
      <c r="Q87" s="169" t="s">
        <v>751</v>
      </c>
      <c r="R87" s="56">
        <v>720930</v>
      </c>
      <c r="S87" s="113">
        <f>R87*$T$113</f>
        <v>178645252.97507876</v>
      </c>
      <c r="T87" s="169" t="s">
        <v>4508</v>
      </c>
      <c r="U87" s="169">
        <f>$Q$85*$T$85*S87/$R$111</f>
        <v>505.96455143747187</v>
      </c>
      <c r="V87" s="95">
        <f>S87+U87</f>
        <v>178645758.93963021</v>
      </c>
      <c r="X87" s="163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4484</v>
      </c>
      <c r="AJ87" s="117">
        <v>-587816</v>
      </c>
      <c r="AK87" s="20">
        <v>3</v>
      </c>
      <c r="AL87" s="99">
        <f t="shared" si="17"/>
        <v>7</v>
      </c>
      <c r="AM87" s="117">
        <f t="shared" si="9"/>
        <v>-4114712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4497</v>
      </c>
      <c r="R88" s="56">
        <v>317725</v>
      </c>
      <c r="S88" s="113">
        <f>R88*$T$113</f>
        <v>78731725.689743653</v>
      </c>
      <c r="T88" s="169" t="s">
        <v>4508</v>
      </c>
      <c r="U88" s="169">
        <f>$Q$85*$T$85*S88/$R$111+Q85*R85</f>
        <v>472.9864024322344</v>
      </c>
      <c r="V88" s="95">
        <f>S88+U88</f>
        <v>78732198.67614609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4483</v>
      </c>
      <c r="AJ88" s="117">
        <v>-907489</v>
      </c>
      <c r="AK88" s="20">
        <v>0</v>
      </c>
      <c r="AL88" s="99">
        <f>AL89+AK88</f>
        <v>4</v>
      </c>
      <c r="AM88" s="117">
        <f t="shared" si="9"/>
        <v>-3629956</v>
      </c>
      <c r="AN88" s="20"/>
      <c r="AP88" t="s">
        <v>25</v>
      </c>
    </row>
    <row r="89" spans="4:52">
      <c r="D89" s="32" t="s">
        <v>317</v>
      </c>
      <c r="E89" s="1">
        <v>50000</v>
      </c>
      <c r="Q89" s="169" t="s">
        <v>1087</v>
      </c>
      <c r="R89" s="56">
        <v>9370</v>
      </c>
      <c r="S89" s="113">
        <f>R89*$T$113</f>
        <v>2321870.3901578351</v>
      </c>
      <c r="T89" s="169" t="s">
        <v>4508</v>
      </c>
      <c r="U89" s="169">
        <f>$Q$85*$T$85*S89/$R$111</f>
        <v>6.5760723606579159</v>
      </c>
      <c r="V89" s="95">
        <f>S89+U89</f>
        <v>2321876.9662301959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4483</v>
      </c>
      <c r="AJ89" s="117">
        <v>2450000</v>
      </c>
      <c r="AK89" s="20">
        <v>1</v>
      </c>
      <c r="AL89" s="99">
        <f t="shared" si="17"/>
        <v>4</v>
      </c>
      <c r="AM89" s="117">
        <f t="shared" si="9"/>
        <v>9800000</v>
      </c>
      <c r="AN89" s="20" t="s">
        <v>4529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 t="s">
        <v>4496</v>
      </c>
      <c r="R90" s="56">
        <v>20622</v>
      </c>
      <c r="S90" s="113">
        <f>R90*$T$113</f>
        <v>5110097.2450197302</v>
      </c>
      <c r="T90" s="169" t="s">
        <v>4508</v>
      </c>
      <c r="U90" s="169">
        <f>$Q$85*$T$85*S90/$R$111</f>
        <v>14.472973769635811</v>
      </c>
      <c r="V90" s="95">
        <f>S90+U90</f>
        <v>5110111.7179934997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4533</v>
      </c>
      <c r="AJ90" s="117">
        <v>1500000</v>
      </c>
      <c r="AK90" s="20">
        <v>1</v>
      </c>
      <c r="AL90" s="99">
        <f t="shared" si="17"/>
        <v>3</v>
      </c>
      <c r="AM90" s="117">
        <f t="shared" si="9"/>
        <v>4500000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56"/>
      <c r="S91" s="169"/>
      <c r="T91" s="169"/>
      <c r="U91" s="169"/>
      <c r="V91" s="99"/>
      <c r="X91" s="115"/>
      <c r="Y91" s="115"/>
      <c r="Z91" s="115"/>
      <c r="AA91" s="115"/>
      <c r="AE91"/>
      <c r="AG91" s="96"/>
      <c r="AH91" s="20">
        <v>71</v>
      </c>
      <c r="AI91" s="117" t="s">
        <v>4543</v>
      </c>
      <c r="AJ91" s="117">
        <v>2648000</v>
      </c>
      <c r="AK91" s="20">
        <v>1</v>
      </c>
      <c r="AL91" s="99">
        <f t="shared" si="17"/>
        <v>2</v>
      </c>
      <c r="AM91" s="117">
        <f t="shared" si="9"/>
        <v>5296000</v>
      </c>
      <c r="AN91" s="20" t="s">
        <v>4545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169"/>
      <c r="R92" s="56"/>
      <c r="S92" s="169"/>
      <c r="T92" s="169"/>
      <c r="U92" s="169"/>
      <c r="V92" s="169"/>
      <c r="W92" s="115" t="s">
        <v>25</v>
      </c>
      <c r="X92" s="96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1</v>
      </c>
      <c r="AL92" s="99">
        <f t="shared" si="17"/>
        <v>1</v>
      </c>
      <c r="AM92" s="117">
        <f t="shared" si="9"/>
        <v>615000</v>
      </c>
      <c r="AN92" s="20"/>
    </row>
    <row r="93" spans="4:52">
      <c r="D93" s="32" t="s">
        <v>320</v>
      </c>
      <c r="E93" s="1">
        <v>40000</v>
      </c>
      <c r="P93" s="115"/>
      <c r="Q93" s="169"/>
      <c r="R93" s="169"/>
      <c r="S93" s="169"/>
      <c r="T93" s="169"/>
      <c r="U93" s="169"/>
      <c r="V93" s="16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28"/>
      <c r="Q94" s="99"/>
      <c r="R94" s="99"/>
      <c r="S94" s="99"/>
      <c r="T94" s="99" t="s">
        <v>25</v>
      </c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15"/>
      <c r="Q96" s="99"/>
      <c r="R96" s="99"/>
      <c r="S96" s="99"/>
      <c r="T96" s="99"/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Q97" s="96"/>
      <c r="R97" s="96"/>
      <c r="S97" s="96"/>
      <c r="T97" s="96"/>
      <c r="V97" s="96"/>
      <c r="X97" s="115"/>
      <c r="AH97" s="99"/>
      <c r="AI97" s="99"/>
      <c r="AJ97" s="95">
        <f>SUM(AJ20:AJ95)</f>
        <v>206952100</v>
      </c>
      <c r="AK97" s="99"/>
      <c r="AL97" s="99"/>
      <c r="AM97" s="95">
        <f>SUM(AM20:AM96)</f>
        <v>22804057737</v>
      </c>
      <c r="AN97" s="95">
        <f>AM97*AN100/31</f>
        <v>14712295.314193549</v>
      </c>
    </row>
    <row r="98" spans="4:47">
      <c r="D98" s="2"/>
      <c r="E98" s="3"/>
      <c r="H98" s="96"/>
      <c r="O98" s="115"/>
      <c r="Q98" s="96"/>
      <c r="R98" s="96"/>
      <c r="S98" s="96"/>
      <c r="T98" s="96"/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K99" s="48" t="s">
        <v>788</v>
      </c>
      <c r="L99" s="48" t="s">
        <v>476</v>
      </c>
      <c r="O99" s="115"/>
      <c r="Q99" s="96"/>
      <c r="R99" s="96"/>
      <c r="S99" s="96"/>
      <c r="T99" s="96" t="s">
        <v>25</v>
      </c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7">
        <v>700000</v>
      </c>
      <c r="L100" s="48" t="s">
        <v>1039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K101" s="47">
        <v>500000</v>
      </c>
      <c r="L101" s="48" t="s">
        <v>479</v>
      </c>
      <c r="Q101" s="96"/>
      <c r="R101" s="96"/>
      <c r="S101" s="96"/>
      <c r="T101" s="99" t="s">
        <v>180</v>
      </c>
      <c r="U101" s="99" t="s">
        <v>4534</v>
      </c>
      <c r="V101" s="99" t="s">
        <v>4535</v>
      </c>
      <c r="W101" s="99" t="s">
        <v>4550</v>
      </c>
      <c r="X101" s="99" t="s">
        <v>8</v>
      </c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 ht="30">
      <c r="K102" s="47">
        <v>180000</v>
      </c>
      <c r="L102" s="48" t="s">
        <v>558</v>
      </c>
      <c r="Q102" s="36" t="s">
        <v>4500</v>
      </c>
      <c r="R102" s="95">
        <f>SUM(N43:N51)</f>
        <v>221379601.89999998</v>
      </c>
      <c r="T102" s="113" t="s">
        <v>4508</v>
      </c>
      <c r="U102" s="56">
        <v>1000000</v>
      </c>
      <c r="V102" s="113">
        <v>239.024</v>
      </c>
      <c r="W102" s="113">
        <f>U102*V102</f>
        <v>239024000</v>
      </c>
      <c r="X102" s="99"/>
      <c r="AB102" s="96"/>
      <c r="AC102" s="96"/>
      <c r="AH102" s="99"/>
      <c r="AI102" s="99" t="s">
        <v>4064</v>
      </c>
      <c r="AJ102" s="95">
        <f>AJ97+AN97</f>
        <v>221664395.31419355</v>
      </c>
      <c r="AK102" s="99"/>
      <c r="AL102" s="99"/>
      <c r="AM102" s="99"/>
      <c r="AN102" s="99"/>
    </row>
    <row r="103" spans="4:47">
      <c r="K103" s="47">
        <v>0</v>
      </c>
      <c r="L103" s="48" t="s">
        <v>784</v>
      </c>
      <c r="Q103" s="99" t="s">
        <v>4498</v>
      </c>
      <c r="R103" s="95">
        <f>SUM(N21:N25)</f>
        <v>25270764.100000001</v>
      </c>
      <c r="T103" s="169" t="s">
        <v>4483</v>
      </c>
      <c r="U103" s="56">
        <v>5904</v>
      </c>
      <c r="V103" s="113">
        <v>237.148</v>
      </c>
      <c r="W103" s="113">
        <f t="shared" ref="W103:W109" si="18">U103*V103</f>
        <v>1400121.7919999999</v>
      </c>
      <c r="X103" s="99" t="s">
        <v>1087</v>
      </c>
      <c r="AB103" s="96"/>
      <c r="AC103" s="96"/>
      <c r="AI103" t="s">
        <v>4067</v>
      </c>
      <c r="AJ103" s="114">
        <f>SUM(N41:N50)-N45</f>
        <v>212674421.69999999</v>
      </c>
    </row>
    <row r="104" spans="4:47">
      <c r="K104" s="47">
        <v>0</v>
      </c>
      <c r="L104" s="48" t="s">
        <v>785</v>
      </c>
      <c r="Q104" s="99" t="s">
        <v>4499</v>
      </c>
      <c r="R104" s="95">
        <f>SUM(N28:N30)</f>
        <v>2844865.3</v>
      </c>
      <c r="T104" s="169" t="s">
        <v>4235</v>
      </c>
      <c r="U104" s="169">
        <v>1000</v>
      </c>
      <c r="V104" s="113">
        <v>247.393</v>
      </c>
      <c r="W104" s="113">
        <f t="shared" si="18"/>
        <v>247393</v>
      </c>
      <c r="X104" s="99" t="s">
        <v>751</v>
      </c>
      <c r="AB104" s="96"/>
      <c r="AC104" s="96"/>
      <c r="AI104" t="s">
        <v>4139</v>
      </c>
      <c r="AJ104" s="114">
        <f>AJ103-AJ97</f>
        <v>5722321.6999999881</v>
      </c>
    </row>
    <row r="105" spans="4:47">
      <c r="K105" s="47">
        <v>500000</v>
      </c>
      <c r="L105" s="48" t="s">
        <v>786</v>
      </c>
      <c r="Q105" s="99" t="s">
        <v>4501</v>
      </c>
      <c r="R105" s="95">
        <f>N41</f>
        <v>13376</v>
      </c>
      <c r="T105" s="169" t="s">
        <v>4555</v>
      </c>
      <c r="U105" s="169">
        <v>8071</v>
      </c>
      <c r="V105" s="113">
        <v>247.797</v>
      </c>
      <c r="W105" s="113">
        <f t="shared" si="18"/>
        <v>1999969.5870000001</v>
      </c>
      <c r="X105" s="99" t="s">
        <v>4496</v>
      </c>
      <c r="AB105" s="96"/>
      <c r="AC105" s="96"/>
      <c r="AI105" t="s">
        <v>943</v>
      </c>
      <c r="AJ105" s="114">
        <f>AN97</f>
        <v>14712295.314193549</v>
      </c>
    </row>
    <row r="106" spans="4:47">
      <c r="K106" s="47">
        <v>75000</v>
      </c>
      <c r="L106" s="48" t="s">
        <v>787</v>
      </c>
      <c r="Q106" s="99" t="s">
        <v>4502</v>
      </c>
      <c r="R106" s="95">
        <f>N20</f>
        <v>0</v>
      </c>
      <c r="T106" s="169" t="s">
        <v>4555</v>
      </c>
      <c r="U106" s="169">
        <v>53672</v>
      </c>
      <c r="V106" s="113">
        <v>247.797</v>
      </c>
      <c r="W106" s="113">
        <f t="shared" si="18"/>
        <v>13299760.584000001</v>
      </c>
      <c r="X106" s="99" t="s">
        <v>452</v>
      </c>
      <c r="AB106" s="96"/>
      <c r="AC106" s="96"/>
      <c r="AI106" t="s">
        <v>4068</v>
      </c>
      <c r="AJ106" s="114">
        <f>AJ103-AJ102</f>
        <v>-8989973.6141935587</v>
      </c>
    </row>
    <row r="107" spans="4:47">
      <c r="K107" s="47">
        <v>0</v>
      </c>
      <c r="L107" s="48" t="s">
        <v>789</v>
      </c>
      <c r="Q107" s="99" t="s">
        <v>4503</v>
      </c>
      <c r="R107" s="95">
        <f>N27</f>
        <v>0</v>
      </c>
      <c r="T107" s="169"/>
      <c r="U107" s="169"/>
      <c r="V107" s="113"/>
      <c r="W107" s="113">
        <f t="shared" si="18"/>
        <v>0</v>
      </c>
      <c r="X107" s="99"/>
      <c r="AB107" s="96"/>
      <c r="AC107" s="96"/>
    </row>
    <row r="108" spans="4:47">
      <c r="K108" s="47">
        <v>500000</v>
      </c>
      <c r="L108" s="48" t="s">
        <v>564</v>
      </c>
      <c r="Q108" s="99" t="s">
        <v>4515</v>
      </c>
      <c r="R108" s="95">
        <v>15000339</v>
      </c>
      <c r="T108" s="169"/>
      <c r="U108" s="169"/>
      <c r="V108" s="113"/>
      <c r="W108" s="113">
        <f t="shared" si="18"/>
        <v>0</v>
      </c>
      <c r="X108" s="99"/>
      <c r="AB108" s="96"/>
      <c r="AC108" s="96"/>
      <c r="AJ108" t="s">
        <v>25</v>
      </c>
    </row>
    <row r="109" spans="4:47">
      <c r="K109" s="47">
        <v>50000</v>
      </c>
      <c r="L109" s="48" t="s">
        <v>792</v>
      </c>
      <c r="Q109" s="99" t="s">
        <v>4556</v>
      </c>
      <c r="R109" s="95">
        <v>300000</v>
      </c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K110" s="47">
        <v>140000</v>
      </c>
      <c r="L110" s="48" t="s">
        <v>314</v>
      </c>
      <c r="Q110" s="99"/>
      <c r="R110" s="95"/>
      <c r="T110" s="169"/>
      <c r="U110" s="169">
        <f>SUM(U102:U108)</f>
        <v>1068647</v>
      </c>
      <c r="V110" s="99"/>
      <c r="W110" s="99"/>
      <c r="X110" s="99"/>
      <c r="AR110" s="96"/>
      <c r="AS110" s="96"/>
      <c r="AT110"/>
      <c r="AU110"/>
    </row>
    <row r="111" spans="4:47">
      <c r="K111" s="47"/>
      <c r="L111" s="48" t="s">
        <v>25</v>
      </c>
      <c r="Q111" s="99" t="s">
        <v>4507</v>
      </c>
      <c r="R111" s="95">
        <f>SUM(R102:R110)</f>
        <v>264808946.29999998</v>
      </c>
      <c r="S111" s="115"/>
      <c r="T111" s="99"/>
      <c r="U111" s="99" t="s">
        <v>6</v>
      </c>
      <c r="V111" s="99"/>
      <c r="W111" s="99"/>
      <c r="X111" s="99"/>
    </row>
    <row r="112" spans="4:47">
      <c r="K112" s="47">
        <f>SUM(K100:K111)</f>
        <v>2645000</v>
      </c>
      <c r="L112" s="48" t="s">
        <v>6</v>
      </c>
      <c r="S112" s="122"/>
      <c r="T112" s="206" t="s">
        <v>4536</v>
      </c>
    </row>
    <row r="113" spans="17:43">
      <c r="Q113" s="55"/>
      <c r="R113" s="186"/>
      <c r="S113" s="115"/>
      <c r="T113" s="205">
        <f>R111/U110</f>
        <v>247.79833406166861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Q114" s="55"/>
      <c r="R114" s="186"/>
      <c r="S114" s="115"/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122"/>
      <c r="R115" s="115"/>
      <c r="U115" s="96" t="s">
        <v>267</v>
      </c>
      <c r="V115" t="s">
        <v>4537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U116" s="96">
        <v>13300000</v>
      </c>
      <c r="V116">
        <f>U116/T113</f>
        <v>53672.677221026352</v>
      </c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Q117" s="99" t="s">
        <v>4496</v>
      </c>
      <c r="R117" s="99"/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Q118" s="36" t="s">
        <v>180</v>
      </c>
      <c r="R118" s="99" t="s">
        <v>267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99" t="s">
        <v>4483</v>
      </c>
      <c r="R119" s="95">
        <v>3000000</v>
      </c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99" t="s">
        <v>4555</v>
      </c>
      <c r="R120" s="95">
        <v>2000000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 ht="60">
      <c r="Q121" s="99"/>
      <c r="R121" s="95"/>
      <c r="T121" s="22" t="s">
        <v>4518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 ht="45">
      <c r="Q122" s="99"/>
      <c r="R122" s="95"/>
      <c r="T122" s="22" t="s">
        <v>4519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>
      <c r="Q124" s="99"/>
      <c r="R124" s="95"/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>
        <f>SUM(R119:R123)</f>
        <v>5000000</v>
      </c>
      <c r="T125" s="99" t="s">
        <v>4538</v>
      </c>
      <c r="U125" s="99" t="s">
        <v>4507</v>
      </c>
      <c r="V125" s="99" t="s">
        <v>953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9" t="s">
        <v>6</v>
      </c>
      <c r="T126" s="95">
        <f>R125+R133+R142+R151</f>
        <v>255970393</v>
      </c>
      <c r="U126" s="95">
        <f>R111</f>
        <v>264808946.29999998</v>
      </c>
      <c r="V126" s="95">
        <f>U126-T126</f>
        <v>8838553.2999999821</v>
      </c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Q128" s="99" t="s">
        <v>1087</v>
      </c>
      <c r="R128" s="99"/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4483</v>
      </c>
      <c r="R129" s="95">
        <v>828000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4533</v>
      </c>
      <c r="R130" s="95">
        <v>1400000</v>
      </c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4474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/>
      <c r="AH132" s="201">
        <v>19</v>
      </c>
      <c r="AI132" s="201" t="s">
        <v>4481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>
        <f>SUM(R129:R131)</f>
        <v>2228000</v>
      </c>
      <c r="AH133" s="99">
        <v>20</v>
      </c>
      <c r="AI133" s="99" t="s">
        <v>4482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9" t="s">
        <v>6</v>
      </c>
      <c r="AH134" s="201">
        <v>21</v>
      </c>
      <c r="AI134" s="201" t="s">
        <v>4483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AH135" s="99">
        <v>22</v>
      </c>
      <c r="AI135" s="99" t="s">
        <v>4483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751</v>
      </c>
      <c r="R136" s="99"/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 t="s">
        <v>4483</v>
      </c>
      <c r="R137" s="95">
        <v>172080000</v>
      </c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4235</v>
      </c>
      <c r="R138" s="95">
        <v>247393</v>
      </c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>
        <f>SUM(R137:R140)</f>
        <v>172327393</v>
      </c>
      <c r="T142" t="s">
        <v>25</v>
      </c>
      <c r="AI142" t="s">
        <v>4064</v>
      </c>
      <c r="AJ142" s="114">
        <f>AJ139+AN139</f>
        <v>29232241.709677421</v>
      </c>
    </row>
    <row r="143" spans="17:40">
      <c r="Q143" s="99"/>
      <c r="R143" s="99" t="s">
        <v>6</v>
      </c>
      <c r="AI143" t="s">
        <v>4067</v>
      </c>
      <c r="AJ143" s="114">
        <f>SUM(N20:N30)</f>
        <v>28115629.400000006</v>
      </c>
    </row>
    <row r="144" spans="17:40">
      <c r="AI144" t="s">
        <v>4139</v>
      </c>
      <c r="AJ144" s="114">
        <f>AJ143-AJ139</f>
        <v>45251.40000000596</v>
      </c>
    </row>
    <row r="145" spans="17:36">
      <c r="AI145" t="s">
        <v>943</v>
      </c>
      <c r="AJ145" s="114">
        <f>AN139</f>
        <v>1161863.7096774194</v>
      </c>
    </row>
    <row r="146" spans="17:36">
      <c r="Q146" s="99" t="s">
        <v>452</v>
      </c>
      <c r="R146" s="99"/>
      <c r="AI146" t="s">
        <v>4068</v>
      </c>
      <c r="AJ146" s="114">
        <f>AJ144-AJ145</f>
        <v>-1116612.3096774134</v>
      </c>
    </row>
    <row r="147" spans="17:36">
      <c r="Q147" s="99" t="s">
        <v>4483</v>
      </c>
      <c r="R147" s="95">
        <v>63115000</v>
      </c>
    </row>
    <row r="148" spans="17:36">
      <c r="Q148" s="99" t="s">
        <v>4555</v>
      </c>
      <c r="R148" s="95">
        <v>13300000</v>
      </c>
    </row>
    <row r="149" spans="17:36">
      <c r="Q149" s="99"/>
      <c r="R149" s="95"/>
    </row>
    <row r="150" spans="17:36">
      <c r="Q150" s="99"/>
      <c r="R150" s="95"/>
    </row>
    <row r="151" spans="17:36">
      <c r="Q151" s="99"/>
      <c r="R151" s="95">
        <f>SUM(R147:R149)</f>
        <v>76415000</v>
      </c>
    </row>
    <row r="152" spans="17:36">
      <c r="Q152" s="99"/>
      <c r="R152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8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2018-12-07T11:06:35Z</dcterms:modified>
</cp:coreProperties>
</file>