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AB31" i="18" l="1"/>
  <c r="Q48" i="18"/>
  <c r="AH122" i="18"/>
  <c r="Q29" i="18"/>
  <c r="Q53" i="18"/>
  <c r="N24" i="18"/>
  <c r="P24" i="18"/>
  <c r="N40" i="18"/>
  <c r="D70" i="50"/>
  <c r="R22" i="33" l="1"/>
  <c r="N22" i="33"/>
  <c r="C22" i="33"/>
  <c r="E22" i="33"/>
  <c r="F22" i="33"/>
  <c r="J22" i="33"/>
  <c r="AH89" i="18"/>
  <c r="AJ88" i="18"/>
  <c r="AJ87" i="18" s="1"/>
  <c r="AJ86" i="18" s="1"/>
  <c r="AJ85" i="18" s="1"/>
  <c r="AJ84" i="18" s="1"/>
  <c r="AJ83" i="18" s="1"/>
  <c r="AJ82" i="18" s="1"/>
  <c r="AJ81" i="18" s="1"/>
  <c r="AJ80" i="18" s="1"/>
  <c r="AK80" i="18" s="1"/>
  <c r="AK81" i="18" l="1"/>
  <c r="AK85" i="18"/>
  <c r="AK88" i="18"/>
  <c r="AK84" i="18"/>
  <c r="AK87" i="18"/>
  <c r="AK83" i="18"/>
  <c r="AK86" i="18"/>
  <c r="AK82" i="18"/>
  <c r="B22" i="33"/>
  <c r="I22" i="33"/>
  <c r="L22" i="33"/>
  <c r="H22" i="33"/>
  <c r="D22" i="33"/>
  <c r="K22" i="33"/>
  <c r="G22" i="33"/>
  <c r="C8" i="36"/>
  <c r="AA28" i="18" l="1"/>
  <c r="AB28" i="18" s="1"/>
  <c r="AJ120" i="18"/>
  <c r="AJ119" i="18" s="1"/>
  <c r="P21" i="18"/>
  <c r="N21" i="18" s="1"/>
  <c r="S21" i="18"/>
  <c r="S22" i="18" s="1"/>
  <c r="S23" i="18" l="1"/>
  <c r="S24" i="18" s="1"/>
  <c r="S25" i="18" s="1"/>
  <c r="S26" i="18" s="1"/>
  <c r="S27" i="18" s="1"/>
  <c r="AK119" i="18"/>
  <c r="AJ118" i="18"/>
  <c r="P20" i="18"/>
  <c r="N20" i="18" s="1"/>
  <c r="N43" i="18"/>
  <c r="AK118" i="18" l="1"/>
  <c r="AJ117" i="18"/>
  <c r="AK117" i="18" l="1"/>
  <c r="AJ116" i="18"/>
  <c r="AA27" i="18"/>
  <c r="AB27" i="18" s="1"/>
  <c r="N42" i="18"/>
  <c r="AJ115" i="18" l="1"/>
  <c r="AK116" i="18"/>
  <c r="R53" i="18"/>
  <c r="AK115" i="18" l="1"/>
  <c r="AJ114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14" i="18" l="1"/>
  <c r="AJ113" i="18"/>
  <c r="AA24" i="18"/>
  <c r="AB24" i="18" s="1"/>
  <c r="N45" i="18"/>
  <c r="AA26" i="18"/>
  <c r="AB26" i="18" s="1"/>
  <c r="D73" i="48"/>
  <c r="N44" i="18"/>
  <c r="AA25" i="18"/>
  <c r="AB25" i="18" s="1"/>
  <c r="P23" i="18"/>
  <c r="N23" i="18" s="1"/>
  <c r="AK113" i="18" l="1"/>
  <c r="AJ112" i="18"/>
  <c r="N31" i="18"/>
  <c r="AJ111" i="18" l="1"/>
  <c r="AK112" i="18"/>
  <c r="P50" i="18"/>
  <c r="AJ110" i="18" l="1"/>
  <c r="AK111" i="18"/>
  <c r="T16" i="49"/>
  <c r="AJ109" i="18" l="1"/>
  <c r="AK110" i="18"/>
  <c r="P16" i="49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23" i="33"/>
  <c r="D23" i="33" s="1"/>
  <c r="AJ108" i="18" l="1"/>
  <c r="AK109" i="18"/>
  <c r="K23" i="33"/>
  <c r="G23" i="33"/>
  <c r="C23" i="33"/>
  <c r="B23" i="33"/>
  <c r="I23" i="33"/>
  <c r="L23" i="33"/>
  <c r="H23" i="33"/>
  <c r="R23" i="33"/>
  <c r="J23" i="33"/>
  <c r="F23" i="33"/>
  <c r="E23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AJ107" i="18" l="1"/>
  <c r="AK108" i="18"/>
  <c r="Q19" i="49"/>
  <c r="P19" i="49" s="1"/>
  <c r="S17" i="49"/>
  <c r="R17" i="49" s="1"/>
  <c r="U16" i="49"/>
  <c r="U17" i="49" s="1"/>
  <c r="T17" i="49" s="1"/>
  <c r="U18" i="49" s="1"/>
  <c r="T18" i="49" s="1"/>
  <c r="P22" i="18"/>
  <c r="N22" i="18" s="1"/>
  <c r="N41" i="18"/>
  <c r="P19" i="18"/>
  <c r="N19" i="18" s="1"/>
  <c r="B263" i="15"/>
  <c r="AH126" i="18" l="1"/>
  <c r="AH127" i="18" s="1"/>
  <c r="AJ106" i="18"/>
  <c r="AK106" i="18" s="1"/>
  <c r="AK107" i="18"/>
  <c r="Q20" i="49"/>
  <c r="P20" i="49" s="1"/>
  <c r="S18" i="49"/>
  <c r="R18" i="49" s="1"/>
  <c r="U19" i="49"/>
  <c r="T19" i="49" s="1"/>
  <c r="S39" i="18"/>
  <c r="S40" i="18" s="1"/>
  <c r="S41" i="18" s="1"/>
  <c r="S42" i="18" l="1"/>
  <c r="S43" i="18" s="1"/>
  <c r="S44" i="18" s="1"/>
  <c r="S45" i="18" s="1"/>
  <c r="S46" i="18" s="1"/>
  <c r="AK122" i="18"/>
  <c r="AL122" i="18" s="1"/>
  <c r="Q21" i="49"/>
  <c r="P21" i="49" s="1"/>
  <c r="S19" i="49"/>
  <c r="R19" i="49" s="1"/>
  <c r="S20" i="49" s="1"/>
  <c r="R20" i="49" s="1"/>
  <c r="S21" i="49" s="1"/>
  <c r="R21" i="49" s="1"/>
  <c r="U20" i="49"/>
  <c r="T20" i="49" s="1"/>
  <c r="AH128" i="18" l="1"/>
  <c r="AH129" i="18" s="1"/>
  <c r="AH125" i="18"/>
  <c r="Q22" i="49"/>
  <c r="P22" i="49"/>
  <c r="U21" i="49"/>
  <c r="T21" i="49" s="1"/>
  <c r="S22" i="49"/>
  <c r="R22" i="49" s="1"/>
  <c r="P39" i="18"/>
  <c r="Q23" i="49" l="1"/>
  <c r="P23" i="49"/>
  <c r="U22" i="49"/>
  <c r="T22" i="49" s="1"/>
  <c r="S23" i="49"/>
  <c r="R23" i="49" s="1"/>
  <c r="Q24" i="49" l="1"/>
  <c r="P24" i="49" s="1"/>
  <c r="U23" i="49"/>
  <c r="T23" i="49" s="1"/>
  <c r="S24" i="49"/>
  <c r="R24" i="49" s="1"/>
  <c r="C267" i="20"/>
  <c r="Q25" i="49" l="1"/>
  <c r="P25" i="49" s="1"/>
  <c r="U24" i="49"/>
  <c r="T24" i="49" s="1"/>
  <c r="S25" i="49"/>
  <c r="R25" i="49" s="1"/>
  <c r="B8" i="36"/>
  <c r="Q26" i="49" l="1"/>
  <c r="P26" i="49" s="1"/>
  <c r="U25" i="49"/>
  <c r="T25" i="49" s="1"/>
  <c r="S26" i="49"/>
  <c r="R26" i="49" s="1"/>
  <c r="B10" i="36"/>
  <c r="U26" i="49" l="1"/>
  <c r="T26" i="49" s="1"/>
  <c r="N25" i="33" l="1"/>
  <c r="N24" i="33"/>
  <c r="N21" i="33"/>
  <c r="N20" i="33"/>
  <c r="N19" i="33"/>
  <c r="N18" i="33"/>
  <c r="L18" i="33" s="1"/>
  <c r="N17" i="33"/>
  <c r="N9" i="33"/>
  <c r="N3" i="33"/>
  <c r="N4" i="33"/>
  <c r="B17" i="33" l="1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C15" i="33" l="1"/>
  <c r="N16" i="33" l="1"/>
  <c r="L16" i="33" l="1"/>
  <c r="J16" i="33"/>
  <c r="F16" i="33"/>
  <c r="C16" i="33"/>
  <c r="K16" i="33"/>
  <c r="G16" i="33"/>
  <c r="H16" i="33"/>
  <c r="D16" i="33"/>
  <c r="I16" i="33"/>
  <c r="E16" i="33"/>
  <c r="B16" i="33"/>
  <c r="R16" i="33"/>
  <c r="L29" i="18"/>
  <c r="K234" i="20" l="1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K233" i="20" l="1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9" i="18" l="1"/>
  <c r="AP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7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J79" i="18" l="1"/>
  <c r="G25" i="46"/>
  <c r="H25" i="46"/>
  <c r="D25" i="46"/>
  <c r="I25" i="46" s="1"/>
  <c r="AJ78" i="18" l="1"/>
  <c r="AK79" i="18"/>
  <c r="D88" i="46"/>
  <c r="G24" i="46"/>
  <c r="H24" i="46"/>
  <c r="D24" i="46"/>
  <c r="I24" i="46" s="1"/>
  <c r="G23" i="46"/>
  <c r="H23" i="46"/>
  <c r="D23" i="46"/>
  <c r="I23" i="46" s="1"/>
  <c r="AJ77" i="18" l="1"/>
  <c r="AK78" i="18"/>
  <c r="N50" i="18"/>
  <c r="AJ76" i="18" l="1"/>
  <c r="AK77" i="18"/>
  <c r="AJ75" i="18" l="1"/>
  <c r="AK76" i="18"/>
  <c r="N38" i="18"/>
  <c r="AH95" i="18" l="1"/>
  <c r="AH96" i="18" s="1"/>
  <c r="AJ74" i="18"/>
  <c r="AK75" i="18"/>
  <c r="AJ73" i="18" l="1"/>
  <c r="AK74" i="18"/>
  <c r="U54" i="18"/>
  <c r="AJ72" i="18" l="1"/>
  <c r="AK73" i="18"/>
  <c r="AJ71" i="18" l="1"/>
  <c r="AK72" i="18"/>
  <c r="AJ70" i="18" l="1"/>
  <c r="AK71" i="18"/>
  <c r="AJ69" i="18" l="1"/>
  <c r="AK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8" i="18" l="1"/>
  <c r="AK69" i="18"/>
  <c r="N2" i="33"/>
  <c r="AJ67" i="18" l="1"/>
  <c r="AK68" i="18"/>
  <c r="I2" i="33"/>
  <c r="E2" i="33"/>
  <c r="J2" i="33"/>
  <c r="F2" i="33"/>
  <c r="K2" i="33"/>
  <c r="G2" i="33"/>
  <c r="D2" i="33"/>
  <c r="C2" i="33"/>
  <c r="H2" i="33"/>
  <c r="D73" i="45"/>
  <c r="AJ66" i="18" l="1"/>
  <c r="AK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65" i="18" l="1"/>
  <c r="AK66" i="18"/>
  <c r="E45" i="14"/>
  <c r="AJ64" i="18" l="1"/>
  <c r="AK65" i="18"/>
  <c r="E44" i="14"/>
  <c r="AK64" i="18" l="1"/>
  <c r="AJ63" i="18"/>
  <c r="E43" i="14"/>
  <c r="AJ62" i="18" l="1"/>
  <c r="AK63" i="18"/>
  <c r="E42" i="14"/>
  <c r="G42" i="14" s="1"/>
  <c r="AJ61" i="18" l="1"/>
  <c r="AK62" i="18"/>
  <c r="E41" i="14"/>
  <c r="G41" i="14" s="1"/>
  <c r="AK61" i="18" l="1"/>
  <c r="AJ60" i="18"/>
  <c r="E40" i="14"/>
  <c r="G40" i="14" s="1"/>
  <c r="AJ59" i="18" l="1"/>
  <c r="AK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K59" i="18" l="1"/>
  <c r="AJ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J57" i="18" l="1"/>
  <c r="AK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J56" i="18" l="1"/>
  <c r="AK57" i="18"/>
  <c r="E36" i="14"/>
  <c r="G36" i="14" s="1"/>
  <c r="B105" i="13"/>
  <c r="B196" i="13" s="1"/>
  <c r="F105" i="13" l="1"/>
  <c r="AK56" i="18"/>
  <c r="AJ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K55" i="18" l="1"/>
  <c r="AJ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J53" i="18" l="1"/>
  <c r="AK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K53" i="18"/>
  <c r="AJ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J51" i="18"/>
  <c r="AK52" i="18"/>
  <c r="D27" i="48"/>
  <c r="E253" i="15"/>
  <c r="E252" i="15"/>
  <c r="I33" i="48" l="1"/>
  <c r="I2" i="50"/>
  <c r="I28" i="50" s="1"/>
  <c r="I33" i="50" s="1"/>
  <c r="D27" i="50"/>
  <c r="AJ50" i="18"/>
  <c r="AK51" i="18"/>
  <c r="E251" i="15"/>
  <c r="E250" i="15"/>
  <c r="D171" i="20"/>
  <c r="AK50" i="18" l="1"/>
  <c r="AJ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48" i="18" l="1"/>
  <c r="AK49" i="18"/>
  <c r="E30" i="14"/>
  <c r="G31" i="14"/>
  <c r="E248" i="15"/>
  <c r="AJ47" i="18" l="1"/>
  <c r="AK48" i="18"/>
  <c r="E29" i="14"/>
  <c r="G30" i="14"/>
  <c r="E247" i="15"/>
  <c r="E246" i="15"/>
  <c r="AJ46" i="18" l="1"/>
  <c r="AK47" i="18"/>
  <c r="E28" i="14"/>
  <c r="G29" i="14"/>
  <c r="E245" i="15"/>
  <c r="AK46" i="18" l="1"/>
  <c r="AJ45" i="18"/>
  <c r="E27" i="14"/>
  <c r="G28" i="14"/>
  <c r="N15" i="33"/>
  <c r="E244" i="15"/>
  <c r="AJ44" i="18" l="1"/>
  <c r="AK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J43" i="18" l="1"/>
  <c r="AK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K43" i="18" l="1"/>
  <c r="AJ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J41" i="18" l="1"/>
  <c r="AK42" i="18"/>
  <c r="E23" i="14"/>
  <c r="G24" i="14"/>
  <c r="H25" i="43"/>
  <c r="G2" i="43"/>
  <c r="G25" i="43" s="1"/>
  <c r="G30" i="43" s="1"/>
  <c r="H30" i="43" s="1"/>
  <c r="AK41" i="18" l="1"/>
  <c r="AJ40" i="18"/>
  <c r="E22" i="14"/>
  <c r="G23" i="14"/>
  <c r="I2" i="43"/>
  <c r="I25" i="43" s="1"/>
  <c r="I30" i="43" s="1"/>
  <c r="D24" i="43"/>
  <c r="AJ39" i="18" l="1"/>
  <c r="AK40" i="18"/>
  <c r="E21" i="14"/>
  <c r="E20" i="14" s="1"/>
  <c r="E19" i="14" s="1"/>
  <c r="E18" i="14" s="1"/>
  <c r="G22" i="14"/>
  <c r="E243" i="15"/>
  <c r="AK39" i="18" l="1"/>
  <c r="AJ38" i="18"/>
  <c r="E242" i="15"/>
  <c r="AJ37" i="18" l="1"/>
  <c r="AK38" i="18"/>
  <c r="J57" i="33"/>
  <c r="J55" i="33"/>
  <c r="J54" i="33"/>
  <c r="AJ36" i="18" l="1"/>
  <c r="AK37" i="18"/>
  <c r="L57" i="33"/>
  <c r="E241" i="15"/>
  <c r="AK36" i="18" l="1"/>
  <c r="AJ35" i="18"/>
  <c r="D168" i="20"/>
  <c r="AJ34" i="18" l="1"/>
  <c r="AK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33" i="18" l="1"/>
  <c r="AK34" i="18"/>
  <c r="D252" i="15"/>
  <c r="F253" i="15"/>
  <c r="AJ32" i="18" l="1"/>
  <c r="AK33" i="18"/>
  <c r="D251" i="15"/>
  <c r="F252" i="15"/>
  <c r="AJ31" i="18" l="1"/>
  <c r="AK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30" i="18" l="1"/>
  <c r="AK31" i="18"/>
  <c r="D249" i="15"/>
  <c r="F250" i="15"/>
  <c r="L60" i="32"/>
  <c r="L48" i="32"/>
  <c r="AJ29" i="18" l="1"/>
  <c r="AK30" i="18"/>
  <c r="F249" i="15"/>
  <c r="D248" i="15"/>
  <c r="AK29" i="18" l="1"/>
  <c r="AJ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J27" i="18"/>
  <c r="AK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J26" i="18" l="1"/>
  <c r="AK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J25" i="18" l="1"/>
  <c r="AK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J24" i="18" l="1"/>
  <c r="AK25" i="18"/>
  <c r="E178" i="13"/>
  <c r="G179" i="13"/>
  <c r="D243" i="15"/>
  <c r="F244" i="15"/>
  <c r="AK24" i="18" l="1"/>
  <c r="AJ23" i="18"/>
  <c r="E177" i="13"/>
  <c r="G178" i="13"/>
  <c r="F243" i="15"/>
  <c r="D242" i="15"/>
  <c r="AK23" i="18" l="1"/>
  <c r="AJ22" i="18"/>
  <c r="E176" i="13"/>
  <c r="G177" i="13"/>
  <c r="F242" i="15"/>
  <c r="D241" i="15"/>
  <c r="D165" i="20"/>
  <c r="AJ21" i="18" l="1"/>
  <c r="AJ20" i="18" s="1"/>
  <c r="AK22" i="18"/>
  <c r="E175" i="13"/>
  <c r="G176" i="13"/>
  <c r="F241" i="15"/>
  <c r="D240" i="15"/>
  <c r="D164" i="20"/>
  <c r="AK21" i="18" l="1"/>
  <c r="AK20" i="18"/>
  <c r="AK89" i="18" s="1"/>
  <c r="AL89" i="18" s="1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AH94" i="18" l="1"/>
  <c r="AH98" i="18" s="1"/>
  <c r="E172" i="13"/>
  <c r="G173" i="13"/>
  <c r="D237" i="15"/>
  <c r="F238" i="15"/>
  <c r="D62" i="38"/>
  <c r="AH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3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3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2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4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3" i="18" l="1"/>
  <c r="L52" i="18"/>
  <c r="E33" i="13"/>
  <c r="G34" i="13"/>
  <c r="I97" i="20"/>
  <c r="K97" i="20"/>
  <c r="J97" i="20"/>
  <c r="F108" i="15"/>
  <c r="C20" i="18"/>
  <c r="G20" i="14"/>
  <c r="G21" i="14"/>
  <c r="L54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<sst xmlns="http://schemas.openxmlformats.org/spreadsheetml/2006/main" count="9331" uniqueCount="4424">
  <si>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</si>
  <si>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</si>
  <si>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</si>
  <si>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</si>
  <si>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</si>
  <si>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</si>
  <si>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</si>
  <si>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</si>
  <si>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</si>
  <si>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</si>
  <si>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</si>
  <si>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</si>
  <si>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</si>
  <si>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</si>
  <si>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</si>
  <si>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</si>
  <si>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</si>
  <si>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</si>
  <si>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</si>
  <si>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</si>
  <si>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</si>
  <si>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</si>
  <si>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</si>
  <si>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</si>
  <si>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</si>
  <si>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</si>
  <si>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</si>
  <si>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</si>
  <si>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</si>
  <si>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</si>
  <si>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</si>
  <si>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</si>
  <si>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</si>
  <si>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</si>
  <si>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</si>
  <si>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</si>
  <si>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</si>
  <si>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</si>
  <si>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</si>
  <si>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</si>
  <si>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</si>
  <si>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</si>
  <si>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</si>
  <si>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</si>
  <si>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</si>
  <si>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</si>
  <si>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</si>
  <si>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</si>
  <si>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</si>
  <si>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</si>
  <si>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</si>
  <si>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</si>
  <si>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</si>
  <si>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</si>
  <si>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</si>
  <si>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</si>
  <si>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</si>
  <si>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</si>
  <si>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</si>
  <si>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</si>
  <si>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</si>
  <si>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</si>
  <si>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</si>
  <si>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</si>
  <si>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</si>
  <si>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</si>
  <si>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</si>
  <si>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</si>
  <si>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</si>
  <si>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</si>
  <si>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</si>
  <si>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</si>
  <si>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</si>
  <si>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</si>
  <si>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</si>
  <si>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</si>
  <si>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</si>
  <si>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</si>
  <si>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</si>
  <si>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</si>
  <si>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</si>
  <si>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</si>
  <si>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</si>
  <si>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</si>
  <si>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</si>
  <si>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</si>
  <si>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</si>
  <si>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</si>
  <si>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</si>
  <si>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</si>
  <si>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</si>
  <si>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</si>
  <si>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</si>
  <si>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</si>
  <si>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</si>
  <si>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</si>
  <si>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</si>
  <si>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</si>
  <si>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</si>
  <si>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</si>
  <si>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</si>
  <si>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</si>
  <si>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</si>
  <si>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</si>
  <si>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</si>
  <si>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</si>
  <si>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</si>
  <si>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</si>
  <si>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</si>
  <si>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</si>
  <si>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</si>
  <si>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</si>
  <si>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</si>
  <si>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</si>
  <si>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</si>
  <si>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</si>
  <si>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</si>
  <si>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</si>
  <si>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</si>
  <si>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</si>
  <si>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</si>
  <si>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</si>
  <si>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</si>
  <si>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</si>
  <si>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</si>
  <si>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</si>
  <si>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</si>
  <si>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</si>
  <si>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</si>
  <si>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</si>
  <si>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</si>
  <si>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</si>
  <si>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</si>
  <si>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</si>
  <si>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</si>
  <si>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</si>
  <si>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</si>
  <si>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</si>
  <si>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</si>
  <si>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</si>
  <si>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</si>
  <si>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</si>
  <si>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</si>
  <si>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</si>
  <si>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</si>
  <si>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</si>
  <si>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</si>
  <si>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</si>
  <si>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</si>
  <si>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</si>
  <si>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</si>
  <si>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</si>
  <si>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</si>
  <si>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</si>
  <si>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</si>
  <si>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</si>
  <si>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</si>
  <si>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</si>
  <si>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</si>
  <si>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</si>
  <si>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</si>
  <si>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</si>
  <si>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</si>
  <si>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</si>
  <si>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</si>
  <si>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</si>
  <si>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</si>
  <si>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</si>
  <si>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</si>
  <si>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</si>
  <si>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</si>
  <si>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</si>
  <si>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</si>
  <si>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</si>
  <si>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</si>
  <si>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</si>
  <si>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</si>
  <si>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</si>
  <si>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</si>
  <si>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</si>
  <si>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</si>
  <si>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</si>
  <si>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</si>
  <si>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</si>
  <si>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</si>
  <si>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</si>
  <si>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</si>
  <si>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</si>
  <si>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</si>
  <si>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</si>
  <si>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</si>
  <si>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</si>
  <si>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</si>
  <si>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</si>
  <si>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</si>
  <si>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</si>
  <si>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</si>
  <si>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</si>
  <si>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</si>
  <si>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</si>
  <si>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</si>
  <si>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</si>
  <si>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</si>
  <si>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</si>
  <si>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</si>
  <si>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</si>
  <si>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</si>
  <si>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</si>
  <si>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</si>
  <si>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</si>
  <si>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</si>
  <si>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</si>
  <si>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</si>
  <si>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</si>
  <si>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</si>
  <si>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</si>
  <si>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</si>
  <si>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</si>
  <si>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</si>
  <si>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</si>
  <si>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</si>
  <si>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</si>
  <si>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</si>
  <si>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</si>
  <si>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</si>
  <si>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</si>
  <si>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</si>
  <si>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</si>
  <si>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</si>
  <si>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</si>
  <si>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</si>
  <si>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</si>
  <si>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</si>
  <si>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</si>
  <si>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</si>
  <si>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</si>
  <si>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</si>
  <si>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</si>
  <si>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</si>
  <si>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</si>
  <si>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</si>
  <si>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</si>
  <si>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</si>
  <si>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</si>
  <si>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</si>
  <si>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</si>
  <si>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</si>
  <si>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</si>
  <si>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</si>
  <si>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</si>
  <si>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</si>
  <si>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</si>
  <si>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</si>
  <si>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</si>
  <si>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</si>
  <si>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</si>
  <si>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</si>
  <si>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</si>
  <si>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</si>
  <si>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</si>
  <si>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</si>
  <si>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</si>
  <si>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</si>
  <si>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</si>
  <si>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</si>
  <si>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</si>
  <si>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</si>
  <si>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</si>
  <si>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</si>
  <si>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</si>
  <si>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</si>
  <si>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</si>
  <si>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</si>
  <si>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</si>
  <si>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</si>
  <si>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</si>
  <si>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</si>
  <si>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</si>
  <si>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</si>
  <si>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</si>
  <si>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</si>
  <si>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</si>
  <si>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</si>
  <si>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</si>
  <si>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</si>
  <si>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</si>
  <si>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</si>
  <si>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</si>
  <si>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</si>
  <si>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</si>
  <si>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</si>
  <si>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</si>
  <si>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</si>
  <si>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</si>
  <si>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</si>
  <si>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</si>
  <si>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</si>
  <si>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</si>
  <si>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</si>
  <si>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</si>
  <si>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</si>
  <si>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</si>
  <si>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</si>
  <si>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</si>
  <si>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</si>
  <si>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</si>
  <si>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</si>
  <si>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</si>
  <si>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</si>
  <si>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</si>
  <si>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</si>
  <si>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</si>
  <si>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</si>
  <si>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</si>
  <si>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</si>
  <si>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</si>
  <si>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</si>
  <si>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</si>
  <si>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</si>
  <si>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</si>
  <si>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</si>
  <si>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</si>
  <si>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</si>
  <si>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</si>
  <si>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</si>
  <si>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</si>
  <si>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</si>
  <si>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</si>
  <si>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</si>
  <si>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</si>
  <si>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</si>
  <si>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</si>
  <si>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</si>
  <si>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</si>
  <si>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</si>
  <si>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</si>
  <si>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</si>
  <si>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</si>
  <si>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</si>
  <si>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</si>
  <si>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</si>
  <si>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</si>
  <si>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</si>
  <si>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</si>
  <si>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</si>
  <si>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</si>
  <si>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</si>
  <si>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</si>
  <si>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</si>
  <si>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</si>
  <si>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</si>
  <si>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</si>
  <si>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</si>
  <si>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</si>
  <si>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</si>
  <si>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</si>
  <si>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</si>
  <si>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</si>
  <si>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</si>
  <si>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</si>
  <si>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</si>
  <si>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</si>
  <si>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</si>
  <si>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</si>
  <si>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</si>
  <si>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</si>
  <si>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</si>
  <si>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</si>
  <si>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</si>
  <si>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</si>
  <si>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</si>
  <si>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</si>
  <si>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</si>
  <si>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</si>
  <si>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</si>
  <si>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</si>
  <si>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</si>
  <si>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</si>
  <si>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</si>
  <si>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</si>
  <si>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</si>
  <si>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</si>
  <si>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</si>
  <si>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</si>
  <si>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</si>
  <si>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</si>
  <si>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</si>
  <si>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</si>
  <si>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</si>
  <si>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</si>
  <si>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</si>
  <si>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</si>
  <si>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</si>
  <si>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</si>
  <si>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</si>
  <si>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</si>
  <si>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</si>
  <si>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</si>
  <si>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</si>
  <si>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</si>
  <si>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</si>
  <si>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</si>
  <si>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</si>
  <si>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</si>
  <si>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</si>
  <si>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</si>
  <si>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</si>
  <si>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</si>
  <si>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</si>
  <si>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</si>
  <si>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</si>
  <si>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</si>
  <si>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</si>
  <si>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</si>
  <si>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</si>
  <si>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</si>
  <si>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</si>
  <si>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</si>
  <si>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</si>
  <si>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</si>
  <si>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</si>
  <si>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</si>
  <si>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</si>
  <si>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</si>
  <si>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</si>
  <si>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</si>
  <si>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</si>
  <si>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</si>
  <si>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</si>
  <si>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</si>
  <si>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</si>
  <si>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</si>
  <si>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</si>
  <si>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</si>
  <si>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</si>
  <si>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</si>
  <si>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</si>
  <si>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</si>
  <si>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</si>
  <si>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</si>
  <si>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</si>
  <si>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</si>
  <si>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</si>
  <si>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</si>
  <si>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</si>
  <si>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</si>
  <si>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</si>
  <si>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</si>
  <si>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</si>
  <si>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</si>
  <si>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</si>
  <si>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</si>
  <si>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</si>
  <si>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</si>
  <si>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</si>
  <si>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</si>
  <si>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</si>
  <si>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</si>
  <si>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</si>
  <si>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</si>
  <si>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</si>
  <si>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</si>
  <si>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</si>
  <si>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</si>
  <si>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</si>
  <si>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</si>
  <si>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</si>
  <si>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</si>
  <si>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</si>
  <si>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</si>
  <si>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</si>
  <si>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</si>
  <si>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</si>
  <si>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</si>
  <si>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</si>
  <si>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</si>
  <si>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</si>
  <si>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</si>
  <si>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</si>
  <si>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</si>
  <si>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</si>
  <si>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</si>
  <si>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</si>
  <si>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</si>
  <si>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</si>
  <si>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</si>
  <si>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</si>
  <si>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</si>
  <si>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</si>
  <si>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</si>
  <si>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</si>
  <si>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</si>
  <si>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</si>
  <si>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</si>
  <si>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</si>
  <si>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</si>
  <si>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</si>
  <si>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</si>
  <si>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</si>
  <si>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</si>
  <si>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</si>
  <si>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</si>
  <si>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</si>
  <si>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</si>
  <si>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</si>
  <si>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</si>
  <si>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</si>
  <si>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</si>
  <si>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</si>
  <si>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</si>
  <si>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</si>
  <si>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</si>
  <si>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</si>
  <si>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</si>
  <si>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</si>
  <si>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</si>
  <si>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</si>
  <si>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</si>
  <si>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</si>
  <si>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</si>
  <si>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</si>
  <si>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</si>
  <si>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</si>
  <si>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</si>
  <si>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</si>
  <si>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</si>
  <si>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</si>
  <si>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</si>
  <si>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</si>
  <si>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</si>
  <si>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</si>
  <si>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</si>
  <si>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</si>
  <si>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</si>
  <si>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</si>
  <si>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</si>
  <si>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</si>
  <si>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</si>
  <si>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</si>
  <si>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</si>
  <si>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</si>
  <si>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</si>
  <si>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</si>
  <si>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</si>
  <si>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</si>
  <si>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</si>
  <si>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</si>
  <si>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</si>
  <si>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</si>
  <si>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</si>
  <si>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</si>
  <si>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</si>
  <si>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</si>
  <si>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</si>
  <si>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</si>
  <si>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</si>
  <si>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</si>
  <si>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</si>
  <si>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</si>
  <si>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</si>
  <si>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</si>
  <si>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</si>
  <si>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</si>
  <si>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</si>
  <si>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</si>
  <si>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</si>
  <si>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</si>
  <si>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</si>
  <si>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</si>
  <si>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</si>
  <si>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</si>
  <si>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</si>
  <si>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</si>
  <si>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</si>
  <si>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</si>
  <si>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</si>
  <si>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</si>
  <si>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</si>
  <si>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</si>
  <si>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</si>
  <si>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</si>
  <si>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</si>
  <si>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</si>
  <si>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</si>
  <si>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</si>
  <si>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</si>
  <si>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</si>
  <si>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</si>
  <si>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</si>
  <si>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</si>
  <si>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</si>
  <si>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</si>
  <si>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</si>
  <si>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</si>
  <si>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</si>
  <si>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</si>
  <si>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</si>
  <si>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</si>
  <si>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</si>
  <si>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</si>
  <si>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</si>
  <si>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</si>
  <si>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</si>
  <si>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</si>
  <si>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</si>
  <si>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</si>
  <si>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</si>
  <si>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</si>
  <si>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</si>
  <si>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</si>
  <si>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</si>
  <si>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</si>
  <si>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</si>
  <si>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</si>
  <si>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</si>
  <si>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</si>
  <si>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</si>
  <si>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</si>
  <si>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</si>
  <si>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</si>
  <si>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</si>
  <si>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</si>
  <si>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</si>
  <si>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</si>
  <si>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</si>
  <si>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</si>
  <si>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</si>
  <si>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</si>
  <si>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</si>
  <si>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</si>
  <si>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</si>
  <si>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</si>
  <si>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</si>
  <si>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</si>
  <si>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</si>
  <si>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</si>
  <si>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</si>
  <si>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</si>
  <si>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</si>
  <si>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</si>
  <si>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</si>
  <si>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</si>
  <si>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</si>
  <si>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</si>
  <si>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</si>
  <si>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</si>
  <si>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</si>
  <si>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</si>
  <si>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</si>
  <si>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</si>
  <si>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</si>
  <si>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</si>
  <si>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</si>
  <si>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</si>
  <si>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</si>
  <si>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</si>
  <si>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</si>
  <si>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</si>
  <si>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</si>
  <si>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</si>
  <si>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</si>
  <si>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</si>
  <si>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</si>
  <si>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</si>
  <si>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</si>
  <si>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</si>
  <si>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</si>
  <si>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</si>
  <si>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</si>
  <si>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</si>
  <si>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</si>
  <si>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</si>
  <si>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</si>
  <si>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</si>
  <si>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</si>
  <si>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</si>
  <si>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</si>
  <si>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</si>
  <si>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</si>
  <si>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</si>
  <si>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</si>
  <si>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</si>
  <si>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</si>
  <si>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</si>
  <si>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</si>
  <si>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</si>
  <si>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</si>
  <si>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</si>
  <si>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</si>
  <si>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</si>
  <si>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</si>
  <si>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</si>
  <si>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</si>
  <si>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</si>
  <si>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</si>
  <si>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</si>
  <si>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</si>
  <si>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</si>
  <si>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</si>
  <si>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</si>
  <si>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</si>
  <si>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</si>
  <si>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</si>
  <si>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</si>
  <si>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</si>
  <si>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</si>
  <si>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</si>
  <si>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</si>
  <si>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</si>
  <si>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</si>
  <si>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</si>
  <si>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</si>
  <si>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</si>
  <si>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</si>
  <si>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</si>
  <si>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</si>
  <si>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</si>
  <si>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</si>
  <si>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</si>
  <si>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</si>
  <si>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</si>
  <si>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</si>
  <si>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</si>
  <si>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</si>
  <si>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</si>
  <si>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</si>
  <si>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</si>
  <si>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</si>
  <si>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</si>
  <si>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</si>
  <si>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</si>
  <si>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</si>
  <si>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</si>
  <si>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</si>
  <si>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</si>
  <si>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</si>
  <si>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</si>
  <si>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</si>
  <si>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</si>
  <si>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</si>
  <si>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</si>
  <si>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</si>
  <si>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</si>
  <si>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</si>
  <si>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</si>
  <si>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</si>
  <si>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</si>
  <si>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</si>
  <si>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</si>
  <si>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</si>
  <si>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</si>
  <si>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</si>
  <si>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</si>
  <si>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</si>
  <si>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</si>
  <si>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</si>
  <si>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</si>
  <si>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</si>
  <si>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</si>
  <si>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</si>
  <si>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</si>
  <si>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</si>
  <si>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</si>
  <si>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</si>
  <si>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</si>
  <si>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</si>
  <si>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</si>
  <si>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</si>
  <si>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</si>
  <si>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</si>
  <si>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</si>
  <si>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</si>
  <si>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</si>
  <si>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</si>
  <si>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</si>
  <si>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</si>
  <si>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</si>
  <si>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</si>
  <si>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</si>
  <si>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</si>
  <si>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</si>
  <si>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</si>
  <si>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</si>
  <si>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</si>
  <si>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</si>
  <si>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</si>
  <si>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</si>
  <si>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</si>
  <si>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</si>
  <si>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</si>
  <si>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</si>
  <si>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</si>
  <si>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</si>
  <si>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</si>
  <si>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</si>
  <si>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</si>
  <si>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</si>
  <si>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</si>
  <si>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</si>
  <si>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</si>
  <si>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</si>
  <si>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</si>
  <si>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</si>
  <si>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</si>
  <si>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</si>
  <si>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</si>
  <si>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</si>
  <si>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</si>
  <si>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</si>
  <si>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</si>
  <si>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</si>
  <si>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</si>
  <si>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</si>
  <si>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</si>
  <si>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</si>
  <si>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</si>
  <si>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</si>
  <si>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</si>
  <si>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</si>
  <si>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</si>
  <si>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</si>
  <si>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</si>
  <si>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</si>
  <si>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</si>
  <si>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</si>
  <si>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</si>
  <si>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</si>
  <si>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</si>
  <si>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</si>
  <si>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</si>
  <si>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</si>
  <si>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</si>
  <si>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</si>
  <si>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</si>
  <si>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</si>
  <si>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</si>
  <si>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</si>
  <si>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</si>
  <si>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</si>
  <si>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</si>
  <si>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</si>
  <si>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</si>
  <si>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</si>
  <si>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</si>
  <si>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</si>
  <si>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</si>
  <si>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</si>
  <si>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</si>
  <si>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</si>
  <si>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</si>
  <si>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</si>
  <si>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</si>
  <si>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</si>
  <si>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</si>
  <si>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</si>
  <si>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</si>
  <si>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</si>
  <si>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</si>
  <si>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</si>
  <si>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</si>
  <si>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</si>
  <si>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</si>
  <si>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</si>
  <si>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</si>
  <si>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</si>
  <si>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</si>
  <si>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</si>
  <si>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</si>
  <si>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</si>
  <si>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</si>
  <si>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</si>
  <si>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</si>
  <si>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</si>
  <si>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</si>
  <si>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</si>
  <si>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</si>
  <si>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</si>
  <si>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</si>
  <si>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</si>
  <si>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</si>
  <si>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</si>
  <si>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</si>
  <si>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</si>
  <si>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</si>
  <si>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</si>
  <si>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</si>
  <si>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</si>
  <si>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</si>
  <si>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</si>
  <si>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</si>
  <si>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</si>
  <si>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</si>
  <si>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</si>
  <si>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</si>
  <si>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</si>
  <si>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</si>
  <si>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</si>
  <si>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</si>
  <si>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</si>
  <si>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</si>
  <si>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</si>
  <si>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</si>
  <si>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</si>
  <si>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</si>
  <si>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</si>
  <si>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</si>
  <si>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</si>
  <si>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</si>
  <si>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</si>
  <si>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</si>
  <si>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</si>
  <si>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</si>
  <si>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</si>
  <si>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</si>
  <si>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</si>
  <si>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</si>
  <si>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</si>
  <si>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</si>
  <si>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</si>
  <si>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</si>
  <si>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</si>
  <si>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</si>
  <si>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</si>
  <si>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</si>
  <si>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</si>
  <si>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</si>
  <si>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</si>
  <si>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</si>
  <si>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</si>
  <si>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</si>
  <si>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</si>
  <si>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</si>
  <si>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</si>
  <si>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</si>
  <si>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</si>
  <si>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</si>
  <si>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</si>
  <si>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</si>
  <si>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</si>
  <si>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</si>
  <si>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</si>
  <si>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</si>
  <si>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</si>
  <si>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</si>
  <si>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</si>
  <si>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</si>
  <si>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</si>
  <si>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</si>
  <si>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</si>
  <si>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</si>
  <si>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</si>
  <si>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</si>
  <si>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</si>
  <si>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</si>
  <si>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</si>
  <si>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</si>
  <si>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</si>
  <si>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</si>
  <si>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</si>
  <si>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</si>
  <si>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</si>
  <si>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</si>
  <si>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</si>
  <si>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</si>
  <si>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</si>
  <si>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</si>
  <si>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</si>
  <si>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</si>
  <si>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</si>
  <si>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</si>
  <si>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</si>
  <si>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</si>
  <si>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</si>
  <si>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</si>
  <si>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</si>
  <si>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</si>
  <si>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</si>
  <si>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</si>
  <si>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</si>
  <si>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</si>
  <si>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</si>
  <si>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</si>
  <si>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</si>
  <si>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</si>
  <si>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</si>
  <si>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</si>
  <si>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</si>
  <si>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</si>
  <si>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</si>
  <si>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</si>
  <si>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</si>
  <si>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</si>
  <si>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</si>
  <si>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</si>
  <si>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</si>
  <si>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</si>
  <si>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</si>
  <si>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</si>
  <si>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</si>
  <si>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</si>
  <si>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</si>
  <si>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</si>
  <si>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</si>
  <si>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</si>
  <si>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</si>
  <si>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</si>
  <si>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</si>
  <si>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</si>
  <si>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</si>
  <si>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</si>
  <si>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</si>
  <si>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</si>
  <si>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</si>
  <si>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</si>
  <si>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</si>
  <si>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</si>
  <si>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</si>
  <si>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</si>
  <si>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</si>
  <si>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</si>
  <si>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</si>
  <si>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</si>
  <si>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</si>
  <si>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</si>
  <si>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</si>
  <si>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</si>
  <si>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</si>
  <si>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</si>
  <si>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</si>
  <si>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</si>
  <si>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</si>
  <si>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</si>
  <si>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</si>
  <si>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</si>
  <si>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</si>
  <si>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</si>
  <si>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</si>
  <si>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</si>
  <si>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</si>
  <si>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</si>
  <si>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</si>
  <si>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</si>
  <si>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</si>
  <si>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</si>
  <si>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</si>
  <si>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</si>
  <si>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</si>
  <si>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</si>
  <si>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</si>
  <si>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</si>
  <si>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</si>
  <si>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</si>
  <si>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</si>
  <si>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</si>
  <si>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</si>
  <si>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</si>
  <si>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</si>
  <si>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</si>
  <si>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</si>
  <si>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</si>
  <si>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</si>
  <si>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</si>
  <si>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</si>
  <si>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</si>
  <si>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</si>
  <si>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</si>
  <si>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</si>
  <si>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</si>
  <si>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</si>
  <si>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</si>
  <si>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</si>
  <si>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</si>
  <si>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</si>
  <si>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</si>
  <si>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</si>
  <si>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</si>
  <si>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</si>
  <si>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</si>
  <si>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</si>
  <si>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</si>
  <si>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</si>
  <si>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</si>
  <si>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</si>
  <si>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</si>
  <si>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</si>
  <si>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</si>
  <si>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</si>
  <si>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</si>
  <si>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</si>
  <si>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</si>
  <si>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</si>
  <si>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</si>
  <si>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</si>
  <si>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</si>
  <si>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</si>
  <si>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</si>
  <si>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</si>
  <si>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</si>
  <si>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</si>
  <si>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</si>
  <si>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</si>
  <si>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</si>
  <si>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</si>
  <si>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</si>
  <si>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</si>
  <si>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</si>
  <si>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</si>
  <si>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</si>
  <si>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</si>
  <si>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</si>
  <si>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</si>
  <si>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</si>
  <si>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</si>
  <si>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</si>
  <si>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</si>
  <si>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</si>
  <si>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</si>
  <si>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</si>
  <si>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</si>
  <si>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</si>
  <si>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</si>
  <si>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</si>
  <si>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</si>
  <si>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</si>
  <si>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</si>
  <si>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</si>
  <si>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</si>
  <si>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</si>
  <si>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</si>
  <si>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</si>
  <si>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</si>
  <si>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</si>
  <si>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</si>
  <si>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</si>
  <si>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</si>
  <si>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</si>
  <si>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</si>
  <si>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</si>
  <si>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</si>
  <si>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</si>
  <si>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</si>
  <si>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</si>
  <si>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</si>
  <si>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</si>
  <si>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</si>
  <si>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</si>
  <si>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</si>
  <si>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</si>
  <si>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</si>
  <si>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</si>
  <si>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</si>
  <si>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</si>
  <si>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</si>
  <si>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</si>
  <si>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</si>
  <si>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</si>
  <si>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</si>
  <si>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</si>
  <si>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</si>
  <si>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</si>
  <si>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</si>
  <si>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</si>
  <si>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</si>
  <si>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</si>
  <si>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</si>
  <si>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</si>
  <si>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</si>
  <si>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</si>
  <si>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</si>
  <si>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</si>
  <si>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</si>
  <si>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</si>
  <si>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</si>
  <si>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</si>
  <si>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</si>
  <si>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</si>
  <si>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</si>
  <si>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</si>
  <si>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</si>
  <si>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</si>
  <si>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</si>
  <si>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</si>
  <si>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</si>
  <si>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</si>
  <si>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</si>
  <si>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</si>
  <si>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</si>
  <si>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</si>
  <si>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</si>
  <si>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</si>
  <si>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</si>
  <si>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</si>
  <si>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</si>
  <si>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</si>
  <si>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</si>
  <si>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</si>
  <si>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</si>
  <si>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</si>
  <si>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</si>
  <si>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</si>
  <si>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</si>
  <si>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</si>
  <si>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</si>
  <si>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</si>
  <si>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</si>
  <si>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</si>
  <si>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</si>
  <si>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</si>
  <si>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</si>
  <si>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</si>
  <si>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</si>
  <si>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</si>
  <si>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</si>
  <si>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</si>
  <si>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</si>
  <si>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</si>
  <si>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</si>
  <si>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</si>
  <si>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</si>
  <si>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</si>
  <si>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</si>
  <si>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</si>
  <si>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</si>
  <si>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</si>
  <si>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</si>
  <si>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</si>
  <si>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</si>
  <si>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</si>
  <si>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</si>
  <si>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</si>
  <si>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</si>
  <si>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</si>
  <si>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</si>
  <si>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</si>
  <si>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</si>
  <si>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</si>
  <si>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</si>
  <si>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</si>
  <si>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</si>
  <si>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</si>
  <si>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</si>
  <si>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</si>
  <si>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</si>
  <si>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</si>
  <si>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</si>
  <si>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</si>
  <si>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</si>
  <si>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</si>
  <si>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</si>
  <si>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</si>
  <si>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</si>
  <si>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</si>
  <si>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</si>
  <si>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</si>
  <si>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</si>
  <si>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</si>
  <si>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</si>
  <si>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</si>
  <si>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</si>
  <si>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</si>
  <si>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</si>
  <si>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</si>
  <si>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</si>
  <si>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</si>
  <si>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</si>
  <si>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</si>
  <si>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</si>
  <si>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</si>
  <si>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</si>
  <si>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</si>
  <si>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</si>
  <si>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</si>
  <si>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</si>
  <si>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</si>
  <si>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</si>
  <si>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</si>
  <si>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</si>
  <si>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</si>
  <si>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</si>
  <si>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</si>
  <si>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</si>
  <si>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</si>
  <si>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</si>
  <si>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</si>
  <si>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</si>
  <si>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</si>
  <si>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</si>
  <si>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</si>
  <si>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</si>
  <si>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</si>
  <si>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</si>
  <si>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</si>
  <si>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</si>
  <si>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</si>
  <si>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</si>
  <si>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</si>
  <si>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</si>
  <si>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</si>
  <si>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</si>
  <si>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</si>
  <si>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</si>
  <si>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</si>
  <si>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</si>
  <si>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</si>
  <si>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</si>
  <si>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</si>
  <si>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</si>
  <si>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</si>
  <si>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</si>
  <si>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</si>
  <si>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</si>
  <si>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</si>
  <si>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</si>
  <si>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</si>
  <si>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</si>
  <si>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</si>
  <si>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</si>
  <si>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</si>
  <si>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</si>
  <si>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</si>
  <si>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</si>
  <si>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</si>
  <si>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</si>
  <si>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</si>
  <si>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</si>
  <si>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</si>
  <si>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</si>
  <si>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</si>
  <si>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</si>
  <si>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</si>
  <si>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</si>
  <si>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</si>
  <si>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</si>
  <si>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</si>
  <si>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</si>
  <si>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</si>
  <si>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</si>
  <si>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</si>
  <si>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</si>
  <si>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</si>
  <si>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</si>
  <si>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</si>
  <si>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</si>
  <si>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</si>
  <si>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</si>
  <si>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</si>
  <si>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</si>
  <si>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</si>
  <si>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</si>
  <si>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</si>
  <si>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</si>
  <si>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</si>
  <si>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</si>
  <si>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</si>
  <si>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</si>
  <si>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</si>
  <si>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</si>
  <si>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</si>
  <si>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</si>
  <si>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</si>
  <si>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</si>
  <si>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</si>
  <si>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</si>
  <si>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</si>
  <si>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</si>
  <si>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</si>
  <si>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</si>
  <si>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</si>
  <si>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</si>
  <si>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</si>
  <si>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</si>
  <si>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</si>
  <si>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</si>
  <si>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</si>
  <si>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</si>
  <si>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</si>
  <si>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</si>
  <si>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</si>
  <si>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</si>
  <si>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</si>
  <si>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</si>
  <si>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</si>
  <si>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</si>
  <si>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</si>
  <si>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</si>
  <si>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</si>
  <si>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</si>
  <si>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</si>
  <si>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</si>
  <si>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</si>
  <si>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</si>
  <si>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</si>
  <si>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</si>
  <si>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</si>
  <si>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</si>
  <si>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</si>
  <si>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</si>
  <si>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</si>
  <si>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</si>
  <si>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</si>
  <si>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</si>
  <si>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</si>
  <si>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</si>
  <si>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</si>
  <si>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</si>
  <si>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</si>
  <si>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</si>
  <si>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</si>
  <si>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</si>
  <si>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</si>
  <si>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</si>
  <si>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</si>
  <si>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</si>
  <si>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</si>
  <si>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</si>
  <si>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</si>
  <si>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</si>
  <si>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</si>
  <si>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</si>
  <si>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</si>
  <si>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</si>
  <si>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</si>
  <si>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</si>
  <si>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</si>
  <si>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</si>
  <si>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</si>
  <si>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</si>
  <si>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</si>
  <si>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</si>
  <si>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</si>
  <si>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</si>
  <si>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</si>
  <si>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</si>
  <si>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</si>
  <si>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</si>
  <si>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</si>
  <si>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</si>
  <si>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</si>
  <si>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</si>
  <si>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</si>
  <si>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</si>
  <si>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</si>
  <si>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</si>
  <si>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</si>
  <si>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</si>
  <si>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</si>
  <si>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</si>
  <si>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</si>
  <si>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</si>
  <si>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</si>
  <si>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</si>
  <si>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</si>
  <si>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</si>
  <si>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</si>
  <si>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</si>
  <si>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</si>
  <si>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</si>
  <si>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</si>
  <si>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</si>
  <si>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</si>
  <si>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</si>
  <si>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</si>
  <si>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</si>
  <si>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</si>
  <si>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</si>
  <si>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</si>
  <si>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</si>
  <si>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</si>
  <si>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</si>
  <si>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</si>
  <si>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</si>
  <si>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</si>
  <si>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</si>
  <si>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</si>
  <si>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</si>
  <si>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</si>
  <si>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</si>
  <si>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</si>
  <si>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</si>
  <si>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</si>
  <si>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</si>
  <si>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</si>
  <si>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</si>
  <si>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</si>
  <si>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</si>
  <si>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</si>
  <si>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</si>
  <si>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</si>
  <si>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</si>
  <si>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</si>
  <si>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</si>
  <si>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</si>
  <si>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</si>
  <si>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</si>
  <si>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</si>
  <si>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</si>
  <si>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</si>
  <si>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</si>
  <si>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</si>
  <si>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</si>
  <si>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</si>
  <si>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</si>
  <si>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</si>
  <si>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</si>
  <si>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</si>
  <si>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</si>
  <si>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</si>
  <si>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</si>
  <si>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</si>
  <si>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</si>
  <si>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</si>
  <si>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</si>
  <si>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</si>
  <si>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</si>
  <si>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</si>
  <si>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</si>
  <si>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</si>
  <si>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</si>
  <si>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</si>
  <si>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</si>
  <si>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</si>
  <si>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</si>
  <si>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</si>
  <si>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</si>
  <si>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</si>
  <si>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</si>
  <si>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</si>
  <si>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</si>
  <si>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</si>
  <si>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</si>
  <si>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</si>
  <si>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</si>
  <si>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</si>
  <si>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</si>
  <si>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</si>
  <si>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</si>
  <si>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</si>
  <si>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</si>
  <si>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</si>
  <si>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</si>
  <si>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</si>
  <si>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</si>
  <si>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</si>
  <si>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</si>
  <si>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</si>
  <si>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</si>
  <si>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</si>
  <si>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</si>
  <si>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</si>
  <si>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</si>
  <si>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</si>
  <si>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</si>
  <si>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</si>
  <si>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</si>
  <si>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</si>
  <si>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</si>
  <si>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</si>
  <si>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</si>
  <si>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</si>
  <si>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</si>
  <si>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</si>
  <si>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</si>
  <si>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</si>
  <si>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</si>
  <si>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</si>
  <si>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</si>
  <si>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</si>
  <si>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</si>
  <si>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</si>
  <si>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</si>
  <si>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</si>
  <si>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</si>
  <si>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</si>
  <si>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</si>
  <si>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</si>
  <si>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</si>
  <si>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</si>
  <si>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</si>
  <si>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</si>
  <si>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</si>
  <si>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</si>
  <si>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</si>
  <si>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</si>
  <si>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</si>
  <si>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</si>
  <si>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</si>
  <si>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</si>
  <si>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</si>
  <si>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</si>
  <si>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</si>
  <si>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</si>
  <si>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</si>
  <si>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</si>
  <si>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</si>
  <si>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</si>
  <si>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</si>
  <si>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</si>
  <si>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</si>
  <si>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</si>
  <si>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</si>
  <si>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</si>
  <si>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</si>
  <si>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</si>
  <si>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</si>
  <si>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</si>
  <si>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</si>
  <si>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</si>
  <si>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</si>
  <si>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</si>
  <si>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</si>
  <si>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</si>
  <si>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</si>
  <si>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</si>
  <si>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</si>
  <si>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</si>
  <si>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</si>
  <si>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</si>
  <si>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</si>
  <si>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</si>
  <si>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</si>
  <si>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</si>
  <si>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</si>
  <si>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</si>
  <si>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</si>
  <si>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</si>
  <si>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</si>
  <si>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</si>
  <si>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</si>
  <si>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</si>
  <si>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</si>
  <si>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</si>
  <si>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</si>
  <si>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</si>
  <si>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</si>
  <si>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</si>
  <si>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</si>
  <si>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</si>
  <si>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</si>
  <si>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</si>
  <si>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</si>
  <si>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</si>
  <si>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</si>
  <si>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</si>
  <si>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</si>
  <si>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</si>
  <si>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</si>
  <si>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</si>
  <si>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</si>
  <si>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</si>
  <si>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</si>
  <si>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</si>
  <si>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</si>
  <si>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</si>
  <si>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</si>
  <si>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</si>
  <si>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</si>
  <si>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</si>
  <si>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</si>
  <si>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</si>
  <si>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</si>
  <si>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</si>
  <si>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</si>
  <si>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</si>
  <si>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</si>
  <si>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</si>
  <si>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</si>
  <si>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</si>
  <si>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</si>
  <si>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</si>
  <si>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</si>
  <si>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</si>
  <si>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</si>
  <si>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</si>
  <si>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</si>
  <si>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</si>
  <si>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</si>
  <si>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</si>
  <si>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</si>
  <si>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</si>
  <si>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</si>
  <si>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</si>
  <si>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</si>
  <si>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</si>
  <si>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</si>
  <si>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</si>
  <si>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</si>
  <si>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</si>
  <si>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</si>
  <si>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</si>
  <si>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</si>
  <si>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</si>
  <si>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</si>
  <si>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</si>
  <si>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</si>
  <si>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</si>
  <si>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</si>
  <si>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</si>
  <si>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</si>
  <si>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</si>
  <si>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</si>
  <si>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</si>
  <si>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</si>
  <si>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</si>
  <si>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</si>
  <si>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</si>
  <si>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</si>
  <si>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</si>
  <si>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</si>
  <si>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</si>
  <si>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</si>
  <si>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</si>
  <si>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</si>
  <si>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</si>
  <si>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</si>
  <si>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</si>
  <si>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</si>
  <si>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</si>
  <si>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</si>
  <si>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</si>
  <si>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</si>
  <si>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</si>
  <si>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</si>
  <si>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</si>
  <si>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</si>
  <si>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</si>
  <si>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</si>
  <si>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</si>
  <si>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</si>
  <si>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</si>
  <si>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</si>
  <si>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</si>
  <si>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</si>
  <si>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</si>
  <si>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</si>
  <si>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</si>
  <si>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</si>
  <si>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</si>
  <si>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</si>
  <si>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</si>
  <si>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</si>
  <si>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</si>
  <si>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</si>
  <si>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</si>
  <si>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</si>
  <si>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</si>
  <si>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</si>
  <si>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</si>
  <si>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</si>
  <si>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</si>
  <si>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</si>
  <si>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</si>
  <si>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</si>
  <si>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</si>
  <si>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</si>
  <si>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</si>
  <si>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</si>
  <si>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</si>
  <si>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</si>
  <si>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</si>
  <si>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</si>
  <si>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</si>
  <si>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</si>
  <si>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</si>
  <si>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</si>
  <si>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</si>
  <si>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</si>
  <si>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</si>
  <si>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</si>
  <si>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</si>
  <si>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</si>
  <si>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</si>
  <si>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</si>
  <si>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</si>
  <si>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</si>
  <si>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</si>
  <si>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</si>
  <si>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</si>
  <si>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</si>
  <si>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</si>
  <si>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</si>
  <si>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</si>
  <si>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</si>
  <si>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</si>
  <si>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</si>
  <si>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</si>
  <si>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</si>
  <si>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</si>
  <si>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</si>
  <si>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</si>
  <si>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</si>
  <si>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</si>
  <si>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</si>
  <si>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</si>
  <si>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</si>
  <si>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</si>
  <si>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</si>
  <si>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</si>
  <si>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</si>
  <si>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</si>
  <si>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</si>
  <si>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</si>
  <si>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</si>
  <si>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</si>
  <si>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</si>
  <si>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</si>
  <si>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</si>
  <si>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</si>
  <si>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</si>
  <si>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</si>
  <si>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</si>
  <si>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</si>
  <si>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</si>
  <si>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</si>
  <si>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</si>
  <si>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</si>
  <si>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</si>
  <si>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</si>
  <si>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</si>
  <si>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</si>
  <si>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</si>
  <si>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</si>
  <si>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</si>
  <si>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</si>
  <si>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</si>
  <si>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</si>
  <si>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</si>
  <si>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</si>
  <si>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</si>
  <si>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</si>
  <si>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</si>
  <si>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</si>
  <si>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</si>
  <si>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</si>
  <si>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</si>
  <si>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</si>
  <si>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</si>
  <si>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</si>
  <si>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</si>
  <si>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</si>
  <si>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</si>
  <si>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</si>
  <si>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</si>
  <si>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</si>
  <si>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</si>
  <si>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</si>
  <si>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</si>
  <si>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</si>
  <si>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</si>
  <si>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</si>
  <si>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</si>
  <si>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</si>
  <si>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</si>
  <si>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</si>
  <si>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</si>
  <si>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</si>
  <si>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</si>
  <si>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</si>
  <si>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</si>
  <si>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</si>
  <si>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</si>
  <si>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</si>
  <si>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</si>
  <si>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</si>
  <si>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</si>
  <si>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</si>
  <si>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</si>
  <si>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</si>
  <si>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</si>
  <si>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</si>
  <si>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</si>
  <si>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</si>
  <si>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</si>
  <si>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</si>
  <si>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</si>
  <si>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</si>
  <si>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</si>
  <si>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</si>
  <si>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</si>
  <si>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</si>
  <si>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</si>
  <si>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</si>
  <si>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</si>
  <si>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</si>
  <si>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</si>
  <si>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</si>
  <si>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</si>
  <si>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</si>
  <si>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</si>
  <si>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</si>
  <si>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</si>
  <si>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</si>
  <si>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</si>
  <si>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</si>
  <si>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</si>
  <si>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</si>
  <si>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</si>
  <si>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</si>
  <si>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</si>
  <si>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</si>
  <si>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</si>
  <si>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</si>
  <si>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</si>
  <si>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</si>
  <si>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</si>
  <si>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</si>
  <si>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</si>
  <si>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</si>
  <si>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</si>
  <si>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</si>
  <si>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</si>
  <si>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</si>
  <si>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</si>
  <si>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</si>
  <si>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</si>
  <si>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</si>
  <si>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</si>
  <si>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</si>
  <si>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</si>
  <si>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</si>
  <si>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</si>
  <si>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</si>
  <si>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</si>
  <si>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</si>
  <si>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</si>
  <si>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</si>
  <si>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</si>
  <si>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</si>
  <si>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</si>
  <si>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</si>
  <si>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</si>
  <si>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</si>
  <si>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</si>
  <si>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</si>
  <si>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</si>
  <si>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</si>
  <si>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</si>
  <si>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</si>
  <si>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</si>
  <si>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</si>
  <si>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</si>
  <si>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</si>
  <si>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</si>
  <si>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</si>
  <si>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</si>
  <si>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</si>
  <si>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</si>
  <si>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</si>
  <si>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</si>
  <si>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</si>
  <si>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</si>
  <si>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</si>
  <si>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</si>
  <si>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</si>
  <si>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</si>
  <si>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</si>
  <si>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</si>
  <si>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</si>
  <si>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</si>
  <si>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</si>
  <si>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</si>
  <si>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</si>
  <si>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</si>
  <si>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</si>
  <si>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</si>
  <si>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</si>
  <si>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</si>
  <si>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</si>
  <si>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</si>
  <si>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</si>
  <si>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</si>
  <si>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</si>
  <si>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</si>
  <si>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</si>
  <si>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</si>
  <si>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</si>
  <si>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</si>
  <si>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</si>
  <si>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</si>
  <si>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</si>
  <si>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</si>
  <si>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</si>
  <si>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</si>
  <si>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</si>
  <si>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</si>
  <si>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</si>
  <si>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</si>
  <si>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</si>
  <si>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</si>
  <si>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</si>
  <si>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</si>
  <si>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</si>
  <si>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</si>
  <si>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</si>
  <si>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</si>
  <si>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</si>
  <si>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</si>
  <si>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</si>
  <si>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</si>
  <si>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</si>
  <si>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</si>
  <si>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</si>
  <si>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</si>
  <si>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</si>
  <si>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</si>
  <si>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</si>
  <si>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</si>
  <si>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</si>
  <si>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</si>
  <si>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</si>
  <si>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</si>
  <si>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</si>
  <si>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</si>
  <si>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</si>
  <si>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</si>
  <si>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</si>
  <si>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</si>
  <si>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</si>
  <si>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</si>
  <si>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</si>
  <si>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</si>
  <si>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</si>
  <si>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</si>
  <si>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</si>
  <si>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</si>
  <si>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</si>
  <si>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</si>
  <si>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</si>
  <si>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</si>
  <si>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</si>
  <si>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</si>
  <si>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</si>
  <si>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</si>
  <si>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</si>
  <si>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</si>
  <si>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</si>
  <si>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</si>
  <si>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</si>
  <si>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</si>
  <si>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</si>
  <si>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</si>
  <si>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</si>
  <si>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</si>
  <si>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</si>
  <si>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</si>
  <si>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</si>
  <si>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</si>
  <si>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</si>
  <si>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</si>
  <si>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</si>
  <si>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</si>
  <si>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</si>
  <si>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</si>
  <si>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</si>
  <si>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</si>
  <si>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</si>
  <si>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</si>
  <si>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</si>
  <si>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</si>
  <si>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</si>
  <si>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</si>
  <si>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</si>
  <si>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</si>
  <si>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</si>
  <si>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</si>
  <si>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</si>
  <si>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</si>
  <si>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</si>
  <si>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</si>
  <si>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</si>
  <si>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</si>
  <si>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</si>
  <si>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</si>
  <si>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</si>
  <si>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</si>
  <si>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</si>
  <si>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</si>
  <si>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</si>
  <si>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</si>
  <si>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</si>
  <si>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</si>
  <si>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</si>
  <si>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</si>
  <si>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</si>
  <si>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</si>
  <si>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</si>
  <si>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</si>
  <si>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</si>
  <si>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</si>
  <si>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</si>
  <si>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</si>
  <si>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</si>
  <si>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</si>
  <si>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</si>
  <si>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</si>
  <si>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</si>
  <si>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</si>
  <si>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</si>
  <si>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</si>
  <si>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</si>
  <si>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</si>
  <si>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</si>
  <si>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</si>
  <si>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</si>
  <si>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</si>
  <si>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</si>
  <si>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</si>
  <si>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</si>
  <si>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</si>
  <si>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</si>
  <si>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</si>
  <si>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</si>
  <si>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</si>
  <si>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</si>
  <si>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</si>
  <si>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</si>
  <si>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</si>
  <si>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</si>
  <si>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</si>
  <si>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</si>
  <si>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</si>
  <si>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</si>
  <si>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</si>
  <si>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</si>
  <si>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</si>
  <si>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</si>
  <si>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</si>
  <si>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</si>
  <si>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</si>
  <si>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</si>
  <si>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</si>
  <si>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</si>
  <si>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</si>
  <si>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</si>
  <si>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</si>
  <si>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</si>
  <si>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</si>
  <si>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</si>
  <si>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</si>
  <si>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</si>
  <si>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</si>
  <si>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</si>
  <si>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</si>
  <si>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</si>
  <si>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</si>
  <si>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</si>
  <si>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</si>
  <si>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</si>
  <si>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</si>
  <si>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</si>
  <si>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</si>
  <si>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</si>
  <si>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</si>
  <si>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</si>
  <si>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</si>
  <si>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</si>
  <si>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</si>
  <si>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</si>
  <si>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</si>
  <si>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</si>
  <si>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</si>
  <si>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</si>
  <si>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</si>
  <si>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</si>
  <si>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</si>
  <si>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</si>
  <si>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</si>
  <si>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</si>
  <si>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</si>
  <si>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</si>
  <si>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</si>
  <si>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</si>
  <si>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</si>
  <si>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</si>
  <si>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</si>
  <si>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</si>
  <si>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</si>
  <si>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</si>
  <si>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</si>
  <si>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</si>
  <si>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</si>
  <si>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</si>
  <si>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</si>
  <si>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</si>
  <si>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</si>
  <si>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</si>
  <si>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</si>
  <si>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</si>
  <si>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</si>
  <si>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</si>
  <si>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</si>
  <si>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</si>
  <si>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</si>
  <si>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</si>
  <si>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</si>
  <si>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</si>
  <si>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</si>
  <si>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</si>
  <si>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</si>
  <si>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</si>
  <si>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</si>
  <si>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</si>
  <si>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</si>
  <si>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</si>
  <si>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</si>
  <si>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</si>
  <si>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</si>
  <si>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</si>
  <si>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</si>
  <si>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</si>
  <si>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</si>
  <si>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</si>
  <si>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</si>
  <si>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</si>
  <si>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</si>
  <si>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</si>
  <si>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</si>
  <si>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</si>
  <si>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</si>
  <si>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</si>
  <si>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</si>
  <si>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</si>
  <si>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</si>
  <si>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</si>
  <si>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</si>
  <si>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</si>
  <si>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</si>
  <si>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</si>
  <si>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</si>
  <si>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</si>
  <si>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</si>
  <si>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</si>
  <si>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</si>
  <si>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</si>
  <si>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</si>
  <si>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</si>
  <si>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</si>
  <si>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</si>
  <si>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</si>
  <si>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</si>
  <si>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</si>
  <si>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</si>
  <si>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</si>
  <si>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</si>
  <si>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</si>
  <si>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</si>
  <si>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</si>
  <si>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</si>
  <si>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</si>
  <si>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</si>
  <si>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</si>
  <si>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</si>
  <si>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</si>
  <si>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</si>
  <si>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</si>
  <si>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</si>
  <si>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</si>
  <si>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</si>
  <si>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</si>
  <si>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</si>
  <si>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</si>
  <si>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</si>
  <si>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</si>
  <si>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</si>
  <si>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</si>
  <si>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</si>
  <si>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</si>
  <si>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</si>
  <si>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</si>
  <si>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</si>
  <si>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</si>
  <si>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</si>
  <si>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</si>
  <si>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</si>
  <si>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</si>
  <si>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</si>
  <si>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</si>
  <si>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</si>
  <si>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</si>
  <si>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</si>
  <si>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</si>
  <si>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</si>
  <si>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</si>
  <si>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</si>
  <si>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</si>
  <si>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</si>
  <si>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</si>
  <si>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</si>
  <si>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</si>
  <si>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</si>
  <si>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</si>
  <si>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</si>
  <si>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</si>
  <si>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</si>
  <si>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</si>
  <si>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</si>
  <si>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</si>
  <si>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</si>
  <si>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</si>
  <si>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</si>
  <si>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</si>
  <si>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</si>
  <si>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</si>
  <si>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</si>
  <si>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</si>
  <si>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</si>
  <si>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</si>
  <si>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</si>
  <si>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</si>
  <si>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</si>
  <si>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</si>
  <si>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</si>
  <si>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</si>
  <si>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</si>
  <si>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</si>
  <si>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</si>
  <si>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</si>
  <si>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</si>
  <si>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</si>
  <si>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</si>
  <si>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</si>
  <si>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</si>
  <si>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</si>
  <si>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</si>
  <si>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</si>
  <si>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</si>
  <si>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</si>
  <si>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</si>
  <si>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</si>
  <si>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</si>
  <si>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</si>
  <si>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</si>
  <si>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</si>
  <si>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</si>
  <si>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</si>
  <si>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</si>
  <si>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</si>
  <si>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</si>
  <si>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</si>
  <si>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</si>
  <si>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</si>
  <si>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</si>
  <si>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</si>
  <si>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</si>
  <si>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</si>
  <si>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</si>
  <si>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</si>
  <si>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</si>
  <si>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</si>
  <si>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</si>
  <si>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</si>
  <si>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</si>
  <si>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</si>
  <si>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</si>
  <si>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</si>
  <si>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</si>
  <si>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</si>
  <si>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</si>
  <si>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</si>
  <si>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</si>
  <si>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</si>
  <si>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</si>
  <si>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</si>
  <si>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</si>
  <si>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</si>
  <si>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</si>
  <si>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</si>
  <si>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</si>
  <si>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</si>
  <si>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</si>
  <si>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</si>
  <si>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</si>
  <si>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</si>
  <si>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</si>
  <si>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</si>
  <si>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</si>
  <si>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</si>
  <si>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</si>
  <si>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</si>
  <si>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</si>
  <si>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</si>
  <si>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</si>
  <si>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</si>
  <si>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</si>
  <si>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</si>
  <si>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</si>
  <si>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</si>
  <si>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</si>
  <si>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</si>
  <si>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</si>
  <si>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</si>
  <si>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</si>
  <si>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</si>
  <si>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</si>
  <si>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</si>
  <si>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</si>
  <si>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</si>
  <si>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</si>
  <si>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</si>
  <si>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</si>
  <si>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</si>
  <si>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</si>
  <si>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</si>
  <si>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</si>
  <si>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</si>
  <si>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</si>
  <si>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</si>
  <si>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</si>
  <si>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</si>
  <si>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</si>
  <si>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</si>
  <si>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</si>
  <si>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</si>
  <si>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</si>
  <si>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</si>
  <si>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</si>
  <si>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</si>
  <si>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</si>
  <si>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</si>
  <si>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</si>
  <si>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</si>
  <si>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</si>
  <si>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</si>
  <si>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</si>
  <si>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</si>
  <si>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</si>
  <si>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</si>
  <si>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</si>
  <si>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</si>
  <si>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</si>
  <si>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</si>
  <si>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</si>
  <si>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</si>
  <si>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</si>
  <si>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</si>
  <si>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</si>
  <si>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</si>
  <si>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</si>
  <si>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</si>
  <si>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</si>
  <si>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</si>
  <si>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</si>
  <si>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</si>
  <si>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</si>
  <si>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</si>
  <si>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</si>
  <si>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</si>
  <si>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</si>
  <si>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</si>
  <si>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</si>
  <si>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</si>
  <si>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</si>
  <si>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</si>
  <si>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</si>
  <si>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</si>
  <si>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</si>
  <si>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</si>
  <si>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</si>
  <si>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</si>
  <si>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</si>
  <si>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</si>
  <si>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</si>
  <si>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</si>
  <si>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</si>
  <si>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</si>
  <si>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</si>
  <si>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</si>
  <si>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</si>
  <si>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</si>
  <si>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</si>
  <si>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</si>
  <si>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</si>
  <si>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</si>
  <si>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</si>
  <si>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</si>
  <si>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</si>
  <si>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</si>
  <si>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</si>
  <si>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</si>
  <si>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</si>
  <si>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</si>
  <si>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</si>
  <si>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</si>
  <si>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</si>
  <si>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</si>
  <si>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</si>
  <si>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</si>
  <si>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</si>
  <si>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</si>
  <si>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</si>
  <si>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</si>
  <si>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</si>
  <si>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</si>
  <si>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</si>
  <si>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</si>
  <si>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</si>
  <si>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</si>
  <si>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</si>
  <si>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</si>
  <si>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</si>
  <si>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</si>
  <si>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</si>
  <si>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</si>
  <si>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</si>
  <si>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</si>
  <si>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</si>
  <si>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</si>
  <si>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</si>
  <si>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</si>
  <si>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</si>
  <si>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</si>
  <si>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</si>
  <si>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</si>
  <si>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</si>
  <si>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</si>
  <si>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</si>
  <si>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</si>
  <si>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</si>
  <si>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</si>
  <si>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</si>
  <si>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</si>
  <si>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</si>
  <si>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</si>
  <si>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</si>
  <si>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</si>
  <si>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</si>
  <si>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</si>
  <si>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</si>
  <si>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</si>
  <si>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</si>
  <si>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</si>
  <si>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</si>
  <si>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</si>
  <si>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</si>
  <si>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</si>
  <si>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</si>
  <si>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</si>
  <si>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</si>
  <si>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</si>
  <si>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</si>
  <si>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</si>
  <si>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</si>
  <si>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</si>
  <si>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</si>
  <si>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</si>
  <si>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</si>
  <si>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</si>
  <si>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</si>
  <si>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</si>
  <si>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</si>
  <si>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</si>
  <si>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</si>
  <si>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</si>
  <si>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</si>
  <si>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</si>
  <si>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</si>
  <si>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</si>
  <si>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</si>
  <si>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</si>
  <si>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</si>
  <si>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</si>
  <si>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</si>
  <si>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</si>
  <si>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</si>
  <si>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</si>
  <si>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</si>
  <si>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</si>
  <si>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</si>
  <si>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</si>
  <si>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</si>
  <si>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</si>
  <si>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</si>
  <si>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</si>
  <si>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</si>
  <si>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</si>
  <si>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</si>
  <si>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</si>
  <si>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</si>
  <si>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</si>
  <si>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</si>
  <si>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</si>
  <si>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</si>
  <si>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</si>
  <si>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</si>
  <si>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</si>
  <si>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</si>
  <si>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</si>
  <si>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</si>
  <si>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</si>
  <si>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</si>
  <si>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</si>
  <si>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</si>
  <si>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</si>
  <si>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</si>
  <si>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</si>
  <si>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</si>
  <si>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</si>
  <si>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</si>
  <si>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</si>
  <si>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</si>
  <si>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</si>
  <si>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</si>
  <si>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</si>
  <si>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</si>
  <si>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</si>
  <si>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</si>
  <si>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</si>
  <si>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</si>
  <si>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</si>
  <si>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</si>
  <si>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</si>
  <si>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</si>
  <si>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</si>
  <si>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</si>
  <si>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</si>
  <si>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</si>
  <si>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</si>
  <si>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</si>
  <si>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</si>
  <si>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</si>
  <si>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</si>
  <si>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</si>
  <si>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</si>
  <si>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</si>
  <si>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</si>
  <si>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</si>
  <si>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</si>
  <si>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</si>
  <si>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</si>
  <si>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</si>
  <si>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</si>
  <si>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</si>
  <si>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</si>
  <si>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</si>
  <si>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</si>
  <si>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</si>
  <si>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</si>
  <si>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</si>
  <si>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</si>
  <si>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</si>
  <si>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</si>
  <si>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</si>
  <si>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</si>
  <si>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</si>
  <si>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</si>
  <si>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</si>
  <si>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</si>
  <si>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</si>
  <si>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</si>
  <si>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</si>
  <si>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</si>
  <si>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</si>
  <si>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</si>
  <si>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</si>
  <si>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</si>
  <si>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</si>
  <si>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</si>
  <si>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</si>
  <si>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</si>
  <si>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</si>
  <si>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</si>
  <si>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</si>
  <si>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</si>
  <si>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</si>
  <si>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</si>
  <si>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</si>
  <si>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</si>
  <si>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</si>
  <si>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</si>
  <si>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</si>
  <si>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</si>
  <si>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</si>
  <si>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</si>
  <si>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</si>
  <si>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</si>
  <si>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</si>
  <si>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</si>
  <si>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</si>
  <si>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</si>
  <si>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</si>
  <si>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</si>
  <si>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</si>
  <si>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</si>
  <si>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</si>
  <si>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</si>
  <si>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</si>
  <si>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</si>
  <si>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</si>
  <si>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</si>
  <si>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</si>
  <si>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</si>
  <si>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</si>
  <si>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</si>
  <si>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</si>
  <si>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</si>
  <si>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</si>
  <si>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</si>
  <si>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</si>
  <si>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</si>
  <si>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</si>
  <si>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</si>
  <si>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</si>
  <si>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</si>
  <si>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</si>
  <si>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</si>
  <si>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</si>
  <si>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</si>
  <si>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</si>
  <si>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</si>
  <si>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</si>
  <si>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</si>
  <si>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</si>
  <si>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</si>
  <si>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</si>
  <si>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</si>
  <si>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</si>
  <si>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</si>
  <si>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</si>
  <si>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</si>
  <si>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</si>
  <si>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</si>
  <si>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</si>
  <si>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</si>
  <si>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</si>
  <si>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</si>
  <si>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</si>
  <si>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</si>
  <si>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</si>
  <si>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</si>
  <si>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</si>
  <si>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</si>
  <si>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</si>
  <si>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</si>
  <si>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</si>
  <si>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</si>
  <si>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</si>
  <si>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</si>
  <si>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</si>
  <si>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</si>
  <si>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</si>
  <si>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</si>
  <si>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</si>
  <si>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</si>
  <si>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</si>
  <si>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</si>
  <si>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</si>
  <si>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</si>
  <si>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</si>
  <si>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</si>
  <si>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</si>
  <si>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</si>
  <si>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</si>
  <si>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</si>
  <si>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</si>
  <si>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</si>
  <si>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</si>
  <si>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</si>
  <si>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</si>
  <si>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</si>
  <si>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</si>
  <si>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</si>
  <si>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</si>
  <si>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</si>
  <si>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</si>
  <si>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</si>
  <si>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</si>
  <si>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</si>
  <si>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</si>
  <si>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</si>
  <si>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</si>
  <si>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</si>
  <si>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</si>
  <si>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</si>
  <si>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</si>
  <si>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</si>
  <si>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</si>
  <si>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</si>
  <si>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</si>
  <si>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</si>
  <si>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</si>
  <si>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</si>
  <si>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</si>
  <si>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</si>
  <si>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</si>
  <si>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</si>
  <si>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</si>
  <si>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</si>
  <si>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</si>
  <si>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</si>
  <si>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</si>
  <si>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</si>
  <si>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</si>
  <si>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</si>
  <si>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</si>
  <si>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</si>
  <si>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</si>
  <si>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</si>
  <si>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</si>
  <si>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</si>
  <si>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</si>
  <si>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</si>
  <si>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</si>
  <si>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</si>
  <si>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</si>
  <si>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</si>
  <si>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</si>
  <si>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</si>
  <si>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</si>
  <si>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</si>
  <si>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</si>
  <si>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</si>
  <si>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</si>
  <si>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</si>
  <si>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</si>
  <si>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</si>
  <si>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</si>
  <si>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</si>
  <si>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</si>
  <si>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</si>
  <si>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</si>
  <si>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</si>
  <si>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</si>
  <si>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</si>
  <si>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</si>
  <si>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</si>
  <si>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</si>
  <si>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</si>
  <si>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</si>
  <si>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</si>
  <si>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</si>
  <si>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</si>
  <si>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</si>
  <si>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</si>
  <si>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</si>
  <si>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</si>
  <si>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</si>
  <si>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</si>
  <si>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</si>
  <si>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</si>
  <si>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</si>
  <si>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</si>
  <si>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</si>
  <si>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</si>
  <si>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</si>
  <si>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</si>
  <si>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</si>
  <si>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</si>
  <si>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</si>
  <si>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</si>
  <si>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</si>
  <si>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</si>
  <si>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</si>
  <si>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</si>
  <si>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</si>
  <si>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</si>
  <si>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</si>
  <si>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</si>
  <si>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</si>
  <si>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</si>
  <si>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</si>
  <si>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</si>
  <si>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</si>
  <si>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</si>
  <si>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</si>
  <si>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</si>
  <si>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</si>
  <si>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</si>
  <si>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</si>
  <si>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</si>
  <si>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</si>
  <si>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</si>
  <si>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</si>
  <si>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</si>
  <si>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</si>
  <si>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</si>
  <si>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</si>
  <si>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</si>
  <si>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</si>
  <si>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</si>
  <si>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</si>
  <si>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</si>
  <si>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</si>
  <si>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</si>
  <si>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</si>
  <si>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</si>
  <si>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</si>
  <si>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</si>
  <si>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</si>
  <si>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</si>
  <si>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</si>
  <si>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</si>
  <si>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</si>
  <si>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</si>
  <si>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</si>
  <si>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</si>
  <si>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</si>
  <si>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</si>
  <si>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</si>
  <si>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</si>
  <si>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</si>
  <si>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</si>
  <si>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</si>
  <si>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</si>
  <si>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</si>
  <si>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</si>
  <si>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</si>
  <si>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</si>
  <si>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</si>
  <si>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</si>
  <si>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</si>
  <si>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</si>
  <si>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</si>
  <si>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</si>
  <si>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</si>
  <si>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</si>
  <si>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</si>
  <si>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</si>
  <si>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</si>
  <si>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</si>
  <si>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</si>
  <si>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</si>
  <si>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</si>
  <si>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</si>
  <si>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</si>
  <si>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</si>
  <si>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</si>
  <si>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</si>
  <si>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</si>
  <si>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</si>
  <si>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</si>
  <si>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</si>
  <si>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</si>
  <si>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</si>
  <si>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</si>
  <si>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</si>
  <si>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</si>
  <si>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</si>
  <si>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</si>
  <si>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</si>
  <si>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</si>
  <si>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</si>
  <si>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</si>
  <si>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</si>
  <si>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</si>
  <si>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</si>
  <si>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</si>
  <si>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</si>
  <si>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</si>
  <si>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</si>
  <si>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</si>
  <si>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</si>
  <si>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</si>
  <si>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</si>
  <si>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</si>
  <si>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</si>
  <si>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</si>
  <si>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</si>
  <si>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</si>
  <si>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</si>
  <si>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</si>
  <si>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</si>
  <si>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</si>
  <si>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</si>
  <si>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</si>
  <si>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</si>
  <si>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</si>
  <si>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</si>
  <si>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</si>
  <si>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</si>
  <si>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</si>
  <si>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</si>
  <si>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</si>
  <si>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</si>
  <si>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</si>
  <si>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</si>
  <si>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</si>
  <si>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</si>
  <si>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</si>
  <si>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</si>
  <si>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</si>
  <si>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</si>
  <si>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</si>
  <si>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</si>
  <si>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</si>
  <si>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</si>
  <si>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</si>
  <si>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</si>
  <si>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</si>
  <si>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</si>
  <si>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</si>
  <si>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</si>
  <si>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</si>
  <si>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</si>
  <si>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</si>
  <si>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</si>
  <si>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</si>
  <si>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</si>
  <si>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</si>
  <si>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</si>
  <si>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</si>
  <si>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</si>
  <si>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</si>
  <si>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</si>
  <si>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</si>
  <si>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</si>
  <si>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</si>
  <si>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</si>
  <si>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</si>
  <si>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</si>
  <si>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</si>
  <si>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</si>
  <si>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</si>
  <si>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</si>
  <si>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</si>
  <si>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</si>
  <si>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</si>
  <si>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</si>
  <si>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</si>
  <si>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</si>
  <si>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</si>
  <si>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</si>
  <si>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</si>
  <si>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</si>
  <si>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</si>
  <si>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</si>
  <si>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</si>
  <si>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</si>
  <si>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</si>
  <si>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</si>
  <si>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</si>
  <si>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</si>
  <si>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</si>
  <si>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</si>
  <si>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</si>
  <si>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</si>
  <si>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</si>
  <si>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</si>
  <si>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</si>
  <si>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</si>
  <si>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</si>
  <si>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</si>
  <si>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</si>
  <si>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</si>
  <si>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</si>
  <si>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</si>
  <si>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</si>
  <si>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</si>
  <si>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</si>
  <si>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</si>
  <si>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</si>
  <si>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</si>
  <si>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</si>
  <si>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</si>
  <si>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</si>
  <si>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</si>
  <si>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</si>
  <si>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</si>
  <si>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</si>
  <si>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</si>
  <si>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</si>
  <si>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</si>
  <si>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</si>
  <si>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</si>
  <si>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</si>
  <si>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</si>
  <si>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</si>
  <si>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</si>
  <si>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</si>
  <si>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</si>
  <si>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</si>
  <si>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</si>
  <si>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</si>
  <si>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</si>
  <si>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</si>
  <si>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</si>
  <si>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</si>
  <si>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</si>
  <si>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</si>
  <si>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</si>
  <si>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</si>
  <si>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</si>
  <si>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</si>
  <si>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</si>
  <si>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</si>
  <si>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</si>
  <si>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</si>
  <si>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</si>
  <si>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</si>
  <si>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</si>
  <si>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</si>
  <si>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</si>
  <si>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</si>
  <si>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</si>
  <si>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</si>
  <si>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</si>
  <si>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</si>
  <si>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</si>
  <si>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</si>
  <si>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</si>
  <si>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</si>
  <si>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</si>
  <si>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</si>
  <si>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</si>
  <si>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</si>
  <si>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</si>
  <si>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</si>
  <si>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</si>
  <si>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</si>
  <si>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</si>
  <si>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</si>
  <si>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</si>
  <si>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</si>
  <si>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</si>
  <si>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</si>
  <si>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</si>
  <si>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</si>
  <si>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</si>
  <si>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</si>
  <si>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</si>
  <si>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</si>
  <si>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</si>
  <si>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</si>
  <si>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</si>
  <si>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</si>
  <si>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</si>
  <si>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</si>
  <si>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</si>
  <si>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</si>
  <si>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</si>
  <si>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</si>
  <si>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</si>
  <si>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</si>
  <si>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</si>
  <si>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</si>
  <si>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</si>
  <si>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</si>
  <si>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</si>
  <si>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</si>
  <si>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</si>
  <si>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</si>
  <si>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</si>
  <si>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</si>
  <si>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</si>
  <si>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</si>
  <si>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</si>
  <si>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</si>
  <si>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</si>
  <si>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</si>
  <si>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</si>
  <si>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</si>
  <si>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</si>
  <si>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</si>
  <si>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</si>
  <si>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</si>
  <si>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</si>
  <si>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</si>
  <si>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</si>
  <si>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</si>
  <si>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</si>
  <si>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</si>
  <si>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</si>
  <si>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</si>
  <si>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</si>
  <si>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</si>
  <si>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</si>
  <si>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</si>
  <si>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</si>
  <si>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</si>
  <si>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</si>
  <si>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</si>
  <si>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</si>
  <si>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</si>
  <si>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</si>
  <si>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</si>
  <si>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</si>
  <si>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</si>
  <si>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</si>
  <si>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</si>
  <si>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</si>
  <si>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</si>
  <si>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</si>
  <si>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</si>
  <si>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</si>
  <si>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</si>
  <si>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</si>
  <si>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</si>
  <si>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</si>
  <si>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</si>
  <si>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</si>
  <si>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</si>
  <si>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</si>
  <si>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</si>
  <si>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</si>
  <si>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</si>
  <si>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</si>
  <si>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</si>
  <si>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</si>
  <si>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</si>
  <si>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</si>
  <si>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</si>
  <si>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</si>
  <si>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</si>
  <si>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</si>
  <si>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</si>
  <si>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</si>
  <si>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</si>
  <si>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</si>
  <si>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</si>
  <si>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</si>
  <si>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</si>
  <si>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</si>
  <si>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</si>
  <si>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</si>
  <si>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</si>
  <si>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</si>
  <si>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</si>
  <si>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</si>
  <si>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</si>
  <si>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</si>
  <si>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</si>
  <si>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</si>
  <si>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</si>
  <si>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</si>
  <si>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</si>
  <si>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</si>
  <si>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</si>
  <si>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</si>
  <si>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</si>
  <si>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</si>
  <si>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</si>
  <si>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</si>
  <si>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</si>
  <si>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</si>
  <si>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</si>
  <si>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</si>
  <si>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</si>
  <si>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</si>
  <si>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</si>
  <si>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</si>
  <si>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</si>
  <si>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</si>
  <si>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</si>
  <si>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</si>
  <si>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</si>
  <si>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</si>
  <si>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</si>
  <si>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</si>
  <si>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</si>
  <si>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</si>
  <si>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</si>
  <si>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</si>
  <si>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</si>
  <si>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</si>
  <si>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</si>
  <si>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</si>
  <si>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</si>
  <si>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</si>
  <si>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</si>
  <si>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</si>
  <si>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</si>
  <si>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</si>
  <si>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</si>
  <si>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</si>
  <si>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</si>
  <si>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</si>
  <si>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</si>
  <si>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</si>
  <si>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</si>
  <si>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</si>
  <si>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</si>
  <si>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</si>
  <si>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</si>
  <si>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</si>
  <si>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</si>
  <si>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</si>
  <si>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</si>
  <si>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</si>
  <si>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</si>
  <si>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</si>
  <si>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</si>
  <si>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</si>
  <si>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</si>
  <si>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</si>
  <si>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</si>
  <si>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</si>
  <si>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</si>
  <si>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</si>
  <si>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</si>
  <si>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</si>
  <si>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</si>
  <si>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</si>
  <si>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</si>
  <si>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</si>
  <si>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</si>
  <si>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</si>
  <si>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</si>
  <si>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</si>
  <si>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</si>
  <si>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</si>
  <si>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</si>
  <si>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</si>
  <si>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</si>
  <si>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</si>
  <si>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</si>
  <si>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</si>
  <si>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</si>
  <si>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</si>
  <si>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</si>
  <si>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</si>
  <si>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</si>
  <si>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</si>
  <si>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</si>
  <si>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</si>
  <si>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</si>
  <si>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</si>
  <si>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</si>
  <si>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</si>
  <si>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</si>
  <si>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</si>
  <si>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</si>
  <si>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</si>
  <si>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</si>
  <si>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</si>
  <si>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</si>
  <si>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</si>
  <si>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</si>
  <si>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</si>
  <si>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</si>
  <si>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</si>
  <si>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</si>
  <si>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</si>
  <si>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</si>
  <si>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</si>
  <si>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</si>
  <si>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</si>
  <si>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</si>
  <si>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</si>
  <si>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</si>
  <si>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</si>
  <si>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</si>
  <si>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</si>
  <si>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</si>
  <si>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</si>
  <si>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</si>
  <si>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</si>
  <si>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</si>
  <si>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</si>
  <si>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</si>
  <si>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</si>
  <si>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</si>
  <si>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</si>
  <si>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</si>
  <si>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</si>
  <si>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</si>
  <si>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</si>
  <si>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</si>
  <si>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</si>
  <si>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</si>
  <si>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</si>
  <si>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</si>
  <si>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</si>
  <si>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</si>
  <si>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</si>
  <si>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</si>
  <si>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</si>
  <si>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</si>
  <si>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</si>
  <si>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</si>
  <si>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</si>
  <si>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</si>
  <si>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</si>
  <si>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</si>
  <si>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</si>
  <si>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</si>
  <si>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</si>
  <si>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</si>
  <si>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</si>
  <si>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</si>
  <si>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</si>
  <si>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</si>
  <si>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</si>
  <si>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</si>
  <si>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</si>
  <si>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</si>
  <si>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</si>
  <si>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</si>
  <si>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</si>
  <si>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</si>
  <si>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</si>
  <si>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</si>
  <si>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</si>
  <si>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</si>
  <si>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</si>
  <si>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</si>
  <si>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</si>
  <si>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</si>
  <si>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</si>
  <si>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</si>
  <si>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</si>
  <si>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</si>
  <si>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</si>
  <si>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</si>
  <si>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</si>
  <si>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</si>
  <si>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</si>
  <si>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</si>
  <si>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</si>
  <si>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</si>
  <si>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</si>
  <si>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</si>
  <si>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</si>
  <si>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</si>
  <si>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</si>
  <si>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</si>
  <si>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</si>
  <si>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</si>
  <si>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</si>
  <si>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</si>
  <si>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</si>
  <si>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</si>
  <si>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</si>
  <si>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</si>
  <si>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</si>
  <si>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</si>
  <si>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</si>
  <si>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</si>
  <si>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</si>
  <si>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</si>
  <si>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</si>
  <si>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</si>
  <si>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</si>
  <si>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</si>
  <si>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</si>
  <si>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</si>
  <si>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</si>
  <si>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</si>
  <si>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</si>
  <si>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</si>
  <si>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</si>
  <si>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</si>
  <si>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</si>
  <si>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</si>
  <si>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</si>
  <si>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</si>
  <si>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</si>
  <si>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</si>
  <si>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</si>
  <si>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</si>
  <si>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</si>
  <si>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</si>
  <si>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</si>
  <si>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</si>
  <si>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</si>
  <si>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</si>
  <si>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</si>
  <si>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</si>
  <si>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</si>
  <si>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</si>
  <si>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</si>
  <si>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</si>
  <si>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</si>
  <si>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</si>
  <si>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</si>
  <si>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</si>
  <si>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</si>
  <si>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</si>
  <si>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</si>
  <si>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</si>
  <si>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</si>
  <si>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</si>
  <si>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</si>
  <si>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</si>
  <si>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</si>
  <si>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</si>
  <si>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</si>
  <si>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</si>
  <si>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</si>
  <si>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</si>
  <si>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</si>
  <si>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</si>
  <si>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</si>
  <si>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</si>
  <si>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</si>
  <si>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</si>
  <si>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</si>
  <si>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</si>
  <si>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</si>
  <si>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</si>
  <si>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</si>
  <si>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</si>
  <si>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</si>
  <si>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</si>
  <si>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</si>
  <si>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</si>
  <si>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</si>
  <si>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</si>
  <si>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</si>
  <si>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</si>
  <si>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</si>
  <si>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</si>
  <si>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</si>
  <si>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</si>
  <si>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</si>
  <si>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</si>
  <si>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</si>
  <si>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</si>
  <si>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</si>
  <si>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</si>
  <si>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</si>
  <si>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</si>
  <si>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</si>
  <si>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</si>
  <si>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</si>
  <si>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</si>
  <si>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</si>
  <si>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</si>
  <si>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</si>
  <si>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</si>
  <si>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</si>
  <si>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</si>
  <si>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</si>
  <si>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</si>
  <si>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</si>
  <si>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</si>
  <si>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</si>
  <si>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</si>
  <si>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</si>
  <si>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</si>
  <si>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</si>
  <si>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</si>
  <si>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</si>
  <si>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</si>
  <si>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</si>
  <si>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</si>
  <si>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</si>
  <si>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</si>
  <si>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</si>
  <si>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</si>
  <si>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</si>
  <si>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</si>
  <si>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</si>
  <si>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</si>
  <si>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</si>
  <si>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</si>
  <si>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</si>
  <si>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</si>
  <si>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</si>
  <si>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</si>
  <si>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</si>
  <si>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</si>
  <si>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</si>
  <si>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</si>
  <si>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</si>
  <si>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</si>
  <si>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</si>
  <si>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</si>
  <si>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</si>
  <si>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</si>
  <si>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</si>
  <si>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</si>
  <si>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</si>
  <si>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</si>
  <si>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</si>
  <si>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</si>
  <si>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</si>
  <si>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</si>
  <si>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</si>
  <si>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</si>
  <si>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</si>
  <si>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</si>
  <si>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</si>
  <si>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</si>
  <si>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</si>
  <si>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</si>
  <si>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</si>
  <si>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</si>
  <si>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</si>
  <si>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</si>
  <si>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</si>
  <si>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</si>
  <si>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</si>
  <si>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</si>
  <si>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</si>
  <si>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</si>
  <si>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</si>
  <si>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</si>
  <si>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</si>
  <si>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</si>
  <si>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</si>
  <si>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</si>
  <si>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</si>
  <si>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</si>
  <si>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</si>
  <si>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</si>
  <si>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</si>
  <si>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</si>
  <si>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</si>
  <si>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</si>
  <si>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</si>
  <si>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</si>
  <si>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</si>
  <si>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</si>
  <si>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</si>
  <si>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</si>
  <si>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</si>
  <si>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</si>
  <si>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</si>
  <si>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</si>
  <si>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</si>
  <si>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</si>
  <si>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</si>
  <si>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</si>
  <si>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</si>
  <si>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</si>
  <si>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</si>
  <si>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</si>
  <si>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</si>
  <si>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</si>
  <si>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</si>
  <si>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</si>
  <si>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</si>
  <si>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</si>
  <si>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</si>
  <si>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</si>
  <si>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</si>
  <si>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</si>
  <si>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</si>
  <si>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</si>
  <si>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</si>
  <si>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</si>
  <si>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</si>
  <si>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</si>
  <si>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</si>
  <si>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</si>
  <si>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</si>
  <si>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</si>
  <si>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</si>
  <si>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</si>
  <si>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</si>
  <si>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</si>
  <si>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</si>
  <si>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</si>
  <si>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</si>
  <si>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</si>
  <si>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</si>
  <si>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</si>
  <si>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</si>
  <si>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</si>
  <si>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</si>
  <si>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</si>
  <si>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</si>
  <si>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</si>
  <si>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</si>
  <si>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</si>
  <si>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</si>
  <si>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</si>
  <si>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</si>
  <si>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</si>
  <si>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</si>
  <si>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</si>
  <si>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</si>
  <si>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</si>
  <si>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</si>
  <si>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</si>
  <si>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</si>
  <si>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</si>
  <si>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</si>
  <si>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</si>
  <si>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</si>
  <si>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</si>
  <si>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</si>
  <si>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</si>
  <si>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</si>
  <si>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</si>
  <si>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</si>
  <si>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</si>
  <si>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</si>
  <si>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</si>
  <si>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</si>
  <si>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</si>
  <si>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</si>
  <si>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</si>
  <si>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</si>
  <si>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</si>
  <si>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</si>
  <si>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</si>
  <si>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</si>
  <si>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</si>
  <si>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</si>
  <si>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</si>
  <si>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</si>
  <si>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</si>
  <si>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</si>
  <si>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</si>
  <si>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</si>
  <si>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</si>
  <si>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</si>
  <si>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</si>
  <si>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</si>
  <si>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</si>
  <si>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</si>
  <si>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</si>
  <si>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</si>
  <si>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</si>
  <si>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</si>
  <si>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</si>
  <si>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</si>
  <si>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</si>
  <si>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</si>
  <si>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</si>
  <si>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</si>
  <si>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</si>
  <si>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</si>
  <si>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</si>
  <si>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</si>
  <si>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</si>
  <si>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</si>
  <si>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</si>
  <si>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</si>
  <si>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</si>
  <si>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</si>
  <si>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</si>
  <si>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</si>
  <si>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</si>
  <si>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</si>
  <si>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</si>
  <si>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</si>
  <si>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</si>
  <si>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</si>
  <si>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</si>
  <si>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</si>
  <si>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</si>
  <si>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</si>
  <si>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</si>
  <si>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</si>
  <si>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</si>
  <si>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</si>
  <si>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</si>
  <si>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</si>
  <si>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</si>
  <si>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</si>
  <si>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</si>
  <si>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</si>
  <si>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</si>
  <si>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</si>
  <si>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</si>
  <si>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</si>
  <si>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</si>
  <si>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</si>
  <si>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</si>
  <si>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</si>
  <si>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</si>
  <si>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</si>
  <si>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</si>
  <si>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</si>
  <si>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</si>
  <si>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</si>
  <si>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</si>
  <si>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</si>
  <si>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</si>
  <si>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</si>
  <si>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</si>
  <si>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</si>
  <si>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</si>
  <si>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</si>
  <si>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</si>
  <si>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</si>
  <si>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</si>
  <si>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</si>
  <si>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</si>
  <si>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</si>
  <si>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</si>
  <si>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</si>
  <si>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</si>
  <si>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</si>
  <si>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</si>
  <si>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</si>
  <si>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</si>
  <si>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</si>
  <si>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</si>
  <si>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</si>
  <si>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</si>
  <si>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</si>
  <si>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</si>
  <si>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</si>
  <si>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</si>
  <si>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</si>
  <si>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</si>
  <si>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</si>
  <si>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</si>
  <si>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</si>
  <si>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</si>
  <si>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</si>
  <si>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</si>
  <si>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</si>
  <si>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</si>
  <si>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</si>
  <si>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</si>
  <si>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</si>
  <si>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</si>
  <si>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</si>
  <si>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</si>
  <si>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</si>
  <si>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</si>
  <si>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</si>
  <si>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</si>
  <si>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</si>
  <si>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</si>
  <si>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</si>
  <si>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</si>
  <si>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</si>
  <si>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</si>
  <si>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</si>
  <si>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</si>
  <si>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</si>
  <si>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</si>
  <si>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</si>
  <si>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</si>
  <si>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</si>
  <si>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</si>
  <si>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</si>
  <si>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</si>
  <si>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</si>
  <si>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</si>
  <si>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</si>
  <si>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</si>
  <si>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</si>
  <si>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</si>
  <si>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</si>
  <si>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</si>
  <si>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</si>
  <si>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</si>
  <si>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</si>
  <si>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</si>
  <si>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</si>
  <si>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</si>
  <si>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</si>
  <si>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</si>
  <si>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</si>
  <si>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</si>
  <si>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</si>
  <si>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</si>
  <si>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</si>
  <si>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</si>
  <si>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</si>
  <si>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</si>
  <si>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</si>
  <si>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</si>
  <si>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</si>
  <si>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</si>
  <si>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</si>
  <si>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</si>
  <si>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</si>
  <si>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</si>
  <si>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</si>
  <si>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</si>
  <si>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</si>
  <si>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</si>
  <si>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</si>
  <si>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</si>
  <si>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</si>
  <si>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</si>
  <si>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</si>
  <si>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</si>
  <si>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</si>
  <si>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</si>
  <si>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</si>
  <si>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</si>
  <si>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</si>
  <si>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</si>
  <si>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</si>
  <si>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</si>
  <si>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</si>
  <si>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</si>
  <si>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</si>
  <si>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</si>
  <si>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</si>
  <si>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</si>
  <si>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</si>
  <si>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</si>
  <si>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</si>
  <si>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</si>
  <si>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</si>
  <si>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</si>
  <si>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</si>
  <si>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</si>
  <si>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</si>
  <si>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</si>
  <si>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</si>
  <si>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</si>
  <si>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</si>
  <si>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</si>
  <si>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</si>
  <si>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</si>
  <si>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</si>
  <si>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</si>
  <si>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</si>
  <si>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</si>
  <si>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</si>
  <si>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</si>
  <si>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</si>
  <si>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</si>
  <si>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</si>
  <si>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</si>
  <si>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</si>
  <si>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</si>
  <si>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</si>
  <si>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</si>
  <si>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</si>
  <si>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</si>
  <si>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</si>
  <si>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</si>
  <si>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</si>
  <si>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</si>
  <si>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</si>
  <si>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</si>
  <si>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</si>
  <si>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</si>
  <si>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</si>
  <si>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</si>
  <si>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</si>
  <si>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</si>
  <si>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</si>
  <si>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</si>
  <si>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</si>
  <si>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</si>
  <si>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</si>
  <si>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</si>
  <si>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</si>
  <si>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</si>
  <si>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</si>
  <si>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</si>
  <si>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</si>
  <si>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</si>
  <si>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</si>
  <si>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</si>
  <si>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</si>
  <si>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</si>
  <si>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</si>
  <si>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</si>
  <si>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</si>
  <si>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</si>
  <si>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</si>
  <si>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</si>
  <si>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</si>
  <si>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</si>
  <si>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</si>
  <si>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</si>
  <si>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</si>
  <si>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</si>
  <si>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</si>
  <si>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</si>
  <si>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</si>
  <si>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</si>
  <si>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</si>
  <si>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</si>
  <si>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</si>
  <si>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</si>
  <si>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</si>
  <si>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</si>
  <si>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</si>
  <si>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</si>
  <si>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</si>
  <si>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</si>
  <si>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</si>
  <si>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</si>
  <si>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</si>
  <si>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</si>
  <si>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</si>
  <si>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</si>
  <si>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</si>
  <si>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</si>
  <si>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</si>
  <si>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</si>
  <si>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</si>
  <si>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</si>
  <si>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</si>
  <si>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</si>
  <si>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</si>
  <si>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</si>
  <si>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</si>
  <si>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</si>
  <si>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</si>
  <si>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</si>
  <si>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</si>
  <si>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</si>
  <si>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</si>
  <si>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</si>
  <si>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</si>
  <si>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</si>
  <si>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</si>
  <si>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</si>
  <si>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</si>
  <si>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</si>
  <si>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</si>
  <si>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</si>
  <si>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</si>
  <si>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</si>
  <si>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</si>
  <si>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</si>
  <si>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</si>
  <si>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</si>
  <si>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</si>
  <si>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</si>
  <si>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</si>
  <si>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</si>
  <si>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</si>
  <si>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</si>
  <si>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</si>
  <si>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</si>
  <si>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</si>
  <si>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</si>
  <si>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</si>
  <si>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</si>
  <si>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</si>
  <si>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</si>
  <si>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</si>
  <si>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</si>
  <si>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</si>
  <si>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</si>
  <si>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</si>
  <si>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</si>
  <si>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</si>
  <si>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</si>
  <si>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</si>
  <si>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</si>
  <si>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</si>
  <si>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</si>
  <si>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</si>
  <si>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</si>
  <si>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</si>
  <si>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</si>
  <si>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</si>
  <si>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</si>
  <si>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</si>
  <si>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</si>
  <si>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</si>
  <si>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</si>
  <si>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</si>
  <si>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</si>
  <si>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</si>
  <si>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</si>
  <si>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</si>
  <si>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</si>
  <si>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</si>
  <si>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</si>
  <si>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</si>
  <si>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</si>
  <si>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</si>
  <si>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</si>
  <si>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</si>
  <si>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</si>
  <si>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</si>
  <si>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</si>
  <si>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</si>
  <si>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</si>
  <si>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</si>
  <si>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</si>
  <si>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</si>
  <si>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</si>
  <si>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</si>
  <si>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</si>
  <si>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</si>
  <si>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</si>
  <si>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</si>
  <si>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</si>
  <si>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</si>
  <si>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</si>
  <si>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</si>
  <si>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</si>
  <si>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</si>
  <si>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</si>
  <si>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</si>
  <si>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</si>
  <si>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</si>
  <si>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</si>
  <si>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</si>
  <si>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</si>
  <si>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</si>
  <si>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</si>
  <si>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</si>
  <si>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</si>
  <si>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</si>
  <si>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</si>
  <si>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</si>
  <si>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</si>
  <si>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</si>
  <si>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</si>
  <si>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</si>
  <si>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</si>
  <si>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</si>
  <si>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</si>
  <si>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</si>
  <si>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</si>
  <si>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</si>
  <si>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</si>
  <si>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</si>
  <si>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</si>
  <si>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</si>
  <si>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</si>
  <si>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</si>
  <si>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</si>
  <si>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</si>
  <si>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</si>
  <si>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</si>
  <si>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</si>
  <si>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</si>
  <si>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</si>
  <si>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</si>
  <si>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</si>
  <si>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</si>
  <si>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</si>
  <si>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</si>
  <si>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</si>
  <si>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</si>
  <si>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</si>
  <si>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</si>
  <si>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</si>
  <si>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</si>
  <si>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</si>
  <si>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</si>
  <si>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</si>
  <si>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</si>
  <si>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</si>
  <si>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</si>
  <si>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</si>
  <si>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</si>
  <si>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</si>
  <si>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</si>
  <si>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</si>
  <si>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</si>
  <si>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</si>
  <si>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</si>
  <si>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</si>
  <si>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</si>
  <si>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</si>
  <si>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</si>
  <si>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</si>
  <si>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</si>
  <si>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</si>
  <si>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</si>
  <si>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</si>
  <si>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</si>
  <si>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</si>
  <si>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</si>
  <si>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</si>
  <si>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</si>
  <si>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</si>
  <si>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</si>
  <si>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</si>
  <si>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</si>
  <si>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</si>
  <si>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</si>
  <si>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</si>
  <si>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</si>
  <si>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</si>
  <si>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</si>
  <si>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</si>
  <si>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</si>
  <si>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</si>
  <si>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</si>
  <si>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</si>
  <si>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</si>
  <si>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</si>
  <si>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</si>
  <si>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</si>
  <si>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</si>
  <si>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</si>
  <si>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</si>
  <si>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</si>
  <si>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</si>
  <si>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</si>
  <si>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</si>
  <si>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</si>
  <si>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</si>
  <si>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</si>
  <si>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</si>
  <si>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</si>
  <si>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</si>
  <si>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</si>
  <si>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</si>
  <si>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</si>
  <si>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</si>
  <si>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</si>
  <si>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</si>
  <si>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</si>
  <si>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</si>
  <si>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</si>
  <si>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</si>
  <si>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</si>
  <si>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</si>
  <si>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</si>
  <si>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</si>
  <si>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</si>
  <si>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</si>
  <si>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</si>
  <si>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</si>
  <si>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</si>
  <si>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</si>
  <si>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</si>
  <si>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</si>
  <si>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</si>
  <si>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</si>
  <si>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</si>
  <si>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</si>
  <si>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</si>
  <si>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</si>
  <si>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</si>
  <si>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</si>
  <si>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</si>
  <si>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</si>
  <si>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</si>
  <si>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</si>
  <si>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</si>
  <si>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</si>
  <si>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</si>
  <si>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</si>
  <si>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</si>
  <si>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</si>
  <si>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</si>
  <si>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</si>
  <si>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</si>
  <si>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</si>
  <si>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</si>
  <si>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</si>
  <si>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</si>
  <si>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</si>
  <si>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</si>
  <si>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</si>
  <si>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</si>
  <si>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</si>
  <si>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</si>
  <si>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</si>
  <si>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</si>
  <si>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</si>
  <si>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</si>
  <si>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</si>
  <si>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</si>
  <si>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</si>
  <si>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</si>
  <si>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</si>
  <si>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</si>
  <si>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</si>
  <si>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</si>
  <si>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</si>
  <si>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</si>
  <si>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</si>
  <si>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</si>
  <si>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</si>
  <si>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</si>
  <si>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</si>
  <si>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</si>
  <si>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</si>
  <si>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</si>
  <si>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</si>
  <si>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</si>
  <si>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</si>
  <si>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</si>
  <si>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</si>
  <si>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</si>
  <si>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</si>
  <si>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</si>
  <si>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</si>
  <si>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</si>
  <si>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</si>
  <si>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</si>
  <si>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</si>
  <si>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</si>
  <si>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</si>
  <si>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</si>
  <si>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</si>
  <si>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</si>
  <si>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</si>
  <si>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</si>
  <si>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</si>
  <si>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</si>
  <si>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</si>
  <si>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</si>
  <si>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</si>
  <si>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</si>
  <si>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</si>
  <si>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</si>
  <si>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</si>
  <si>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</si>
  <si>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</si>
  <si>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</si>
  <si>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</si>
  <si>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</si>
  <si>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</si>
  <si>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</si>
  <si>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</si>
  <si>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</si>
  <si>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</si>
  <si>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</si>
  <si>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</si>
  <si>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</si>
  <si>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</si>
  <si>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</si>
  <si>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</si>
  <si>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</si>
  <si>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</si>
  <si>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</si>
  <si>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</si>
  <si>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</si>
  <si>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</si>
  <si>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</si>
  <si>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</si>
  <si>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</si>
  <si>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</si>
  <si>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</si>
  <si>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</si>
  <si>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</si>
  <si>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</si>
  <si>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</si>
  <si>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</si>
  <si>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</si>
  <si>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</si>
  <si>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</si>
  <si>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</si>
  <si>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</si>
  <si>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</si>
  <si>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</si>
  <si>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</si>
  <si>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</si>
  <si>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</si>
  <si>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</si>
  <si>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</si>
  <si>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</si>
  <si>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</si>
  <si>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</si>
  <si>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وتوسم</t>
  </si>
  <si>
    <t>نوسانگیری 72028 تا وغدیر 1/8</t>
  </si>
  <si>
    <t>1/8/1397</t>
  </si>
  <si>
    <t>نماد</t>
  </si>
  <si>
    <t>حساب مریم</t>
  </si>
  <si>
    <t>ارزش کل</t>
  </si>
  <si>
    <t>وصنعت</t>
  </si>
  <si>
    <t>وصنعت 80808 تا 139.5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</si>
  <si>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</si>
  <si>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</si>
  <si>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</si>
  <si>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</si>
  <si>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</si>
  <si>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</si>
  <si>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</si>
  <si>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</si>
  <si>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</si>
  <si>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</si>
  <si>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</si>
  <si>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</si>
  <si>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</si>
  <si>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</si>
  <si>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</si>
  <si>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 xml:space="preserve"> وصنعت</t>
  </si>
  <si>
    <t>وغدیر 48028 تا 192.1</t>
  </si>
  <si>
    <t>وتوسم 23952 تا 185.8</t>
  </si>
  <si>
    <t>وبانک 4602 تا 313.7</t>
  </si>
  <si>
    <t>7/8/1397</t>
  </si>
  <si>
    <t>وبانک 1265 تا 314.8</t>
  </si>
  <si>
    <t>وبانک 27637 تا 313</t>
  </si>
  <si>
    <t>وصنعت 21179 تا 141</t>
  </si>
  <si>
    <t xml:space="preserve">وبانک </t>
  </si>
  <si>
    <t>سهم علی خرید و فروش 50000 تا وغدیر 7/8</t>
  </si>
  <si>
    <t>وغدیر 44349 تا 214.57</t>
  </si>
  <si>
    <t>وصنعت 76344 تا 141.7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</si>
  <si>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</si>
  <si>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</si>
  <si>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</si>
  <si>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</si>
  <si>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</si>
  <si>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</si>
  <si>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</si>
  <si>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</si>
  <si>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</si>
  <si>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</si>
  <si>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</si>
  <si>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</si>
  <si>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</si>
  <si>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</si>
  <si>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</si>
  <si>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</si>
  <si>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</si>
  <si>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</si>
  <si>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</si>
  <si>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</si>
  <si>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</si>
  <si>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</si>
  <si>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</si>
  <si>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</si>
  <si>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</si>
  <si>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</si>
  <si>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</si>
  <si>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</si>
  <si>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</si>
  <si>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</si>
  <si>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</si>
  <si>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</si>
  <si>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</si>
  <si>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 xml:space="preserve">بدهی به حاج خانم 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</si>
  <si>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</si>
  <si>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</si>
  <si>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</si>
  <si>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</si>
  <si>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</si>
  <si>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</si>
  <si>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وتوسم 53372 تا 185.7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</si>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</sst>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2" fillId="0" borderId="0" xfId="0" applyFont="1"/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90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opLeftCell="A31" workbookViewId="0">
      <selection activeCell="E63" sqref="E63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4175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4348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4356</v>
      </c>
      <c r="B4" s="18">
        <v>-3200000</v>
      </c>
      <c r="C4" s="18">
        <v>0</v>
      </c>
      <c r="D4" s="113">
        <f t="shared" si="0"/>
        <v>-3200000</v>
      </c>
      <c r="E4" s="99" t="s">
        <v>4371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4356</v>
      </c>
      <c r="B5" s="18">
        <v>2400000</v>
      </c>
      <c r="C5" s="18">
        <v>0</v>
      </c>
      <c r="D5" s="113">
        <f t="shared" si="0"/>
        <v>2400000</v>
      </c>
      <c r="E5" s="20" t="s">
        <v>4374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4382</v>
      </c>
      <c r="B6" s="18">
        <v>-2000700</v>
      </c>
      <c r="C6" s="18">
        <v>0</v>
      </c>
      <c r="D6" s="113">
        <f t="shared" si="0"/>
        <v>-2000700</v>
      </c>
      <c r="E6" s="19" t="s">
        <v>4383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4382</v>
      </c>
      <c r="B7" s="18">
        <v>-200000</v>
      </c>
      <c r="C7" s="18">
        <v>0</v>
      </c>
      <c r="D7" s="113">
        <f t="shared" si="0"/>
        <v>-200000</v>
      </c>
      <c r="E7" s="19" t="s">
        <v>4384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4382</v>
      </c>
      <c r="B8" s="18">
        <v>-1900000</v>
      </c>
      <c r="C8" s="18">
        <v>0</v>
      </c>
      <c r="D8" s="113">
        <f t="shared" si="0"/>
        <v>-1900000</v>
      </c>
      <c r="E8" s="19" t="s">
        <v>4385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4389</v>
      </c>
      <c r="B9" s="18">
        <v>-50000</v>
      </c>
      <c r="C9" s="18">
        <v>0</v>
      </c>
      <c r="D9" s="113">
        <f t="shared" si="0"/>
        <v>-50000</v>
      </c>
      <c r="E9" s="21" t="s">
        <v>4390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4405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4405</v>
      </c>
      <c r="B11" s="18">
        <v>-3000900</v>
      </c>
      <c r="C11" s="18">
        <v>0</v>
      </c>
      <c r="D11" s="113">
        <f t="shared" si="0"/>
        <v>-3000900</v>
      </c>
      <c r="E11" s="19" t="s">
        <v>4414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4406</v>
      </c>
      <c r="B12" s="18">
        <v>-3000900</v>
      </c>
      <c r="C12" s="18">
        <v>0</v>
      </c>
      <c r="D12" s="113">
        <f t="shared" si="0"/>
        <v>-3000900</v>
      </c>
      <c r="E12" s="20" t="s">
        <v>4414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4406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4219</v>
      </c>
      <c r="B14" s="18">
        <v>0</v>
      </c>
      <c r="C14" s="18">
        <v>0</v>
      </c>
      <c r="D14" s="113">
        <f t="shared" si="0"/>
        <v>0</v>
      </c>
      <c r="E14" s="20"/>
      <c r="F14" s="96">
        <v>14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4250</v>
      </c>
      <c r="B15" s="18">
        <v>0</v>
      </c>
      <c r="C15" s="18">
        <v>0</v>
      </c>
      <c r="D15" s="117">
        <f t="shared" si="0"/>
        <v>0</v>
      </c>
      <c r="E15" s="20"/>
      <c r="F15" s="96">
        <v>14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4260</v>
      </c>
      <c r="B16" s="18">
        <v>0</v>
      </c>
      <c r="C16" s="18">
        <v>0</v>
      </c>
      <c r="D16" s="113">
        <f t="shared" si="0"/>
        <v>0</v>
      </c>
      <c r="E16" s="20"/>
      <c r="F16" s="96">
        <v>16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4275</v>
      </c>
      <c r="B17" s="18">
        <v>0</v>
      </c>
      <c r="C17" s="18">
        <v>0</v>
      </c>
      <c r="D17" s="113">
        <f t="shared" si="0"/>
        <v>0</v>
      </c>
      <c r="E17" s="20"/>
      <c r="F17" s="96">
        <v>8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4124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3201638</v>
      </c>
      <c r="C27" s="113">
        <f>SUM(C2:C26)</f>
        <v>7968789</v>
      </c>
      <c r="D27" s="113">
        <f>SUM(D2:D26)</f>
        <v>-4767151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61750640</v>
      </c>
      <c r="H28" s="18">
        <f>SUM(H2:H26)</f>
        <v>239063670</v>
      </c>
      <c r="I28" s="18">
        <f>SUM(I2:I26)</f>
        <v>-177313030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2322.8617873434187</v>
      </c>
      <c r="I33" s="18">
        <f>G33*I28/G28</f>
        <v>-1722.8617873434187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4327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4326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4328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4330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4337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4340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4341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4345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4346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4347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4349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4350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4351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4361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4370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4375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4388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4386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4392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4395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4401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4409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4410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4411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4412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4409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4415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4420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/>
      <c r="E63" s="54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/>
      <c r="E64" s="54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19">
      <c r="A65" s="96"/>
      <c r="B65" s="96"/>
      <c r="C65" s="96"/>
      <c r="D65" s="114"/>
      <c r="E65" s="54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19">
      <c r="A66" s="96"/>
      <c r="B66" s="96"/>
      <c r="C66" s="96"/>
      <c r="D66" s="114"/>
      <c r="E66" s="54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19">
      <c r="A67" s="96"/>
      <c r="B67" s="96"/>
      <c r="C67" s="96"/>
      <c r="D67" s="114"/>
      <c r="E67" s="54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19">
      <c r="A68" s="96"/>
      <c r="B68" s="96"/>
      <c r="C68" s="96"/>
      <c r="D68" s="114"/>
      <c r="E68" s="54" t="s">
        <v>25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</row>
    <row r="69" spans="1:19">
      <c r="A69" s="96"/>
      <c r="B69" s="96"/>
      <c r="C69" s="96"/>
      <c r="D69" s="114"/>
      <c r="E69" s="54" t="s">
        <v>25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</row>
    <row r="70" spans="1:19">
      <c r="A70" s="96"/>
      <c r="B70" s="96"/>
      <c r="C70" s="96"/>
      <c r="D70" s="114">
        <f>SUM(D33:D69)</f>
        <v>-57260063</v>
      </c>
      <c r="E70" s="96" t="s">
        <v>6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</row>
    <row r="71" spans="1:19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</row>
    <row r="72" spans="1:19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19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19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19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19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19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19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19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19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15" activePane="bottomLeft" state="frozen"/>
      <selection pane="bottomLeft" activeCell="F234" sqref="F234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941</v>
      </c>
      <c r="H2" s="36">
        <f>IF(B2&gt;0,1,0)</f>
        <v>1</v>
      </c>
      <c r="I2" s="11">
        <f>B2*(G2-H2)</f>
        <v>15698000</v>
      </c>
      <c r="J2" s="53">
        <f>C2*(G2-H2)</f>
        <v>15698000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940</v>
      </c>
      <c r="H3" s="36">
        <f t="shared" ref="H3:H66" si="2">IF(B3&gt;0,1,0)</f>
        <v>1</v>
      </c>
      <c r="I3" s="11">
        <f t="shared" ref="I3:I66" si="3">B3*(G3-H3)</f>
        <v>18686100000</v>
      </c>
      <c r="J3" s="53">
        <f t="shared" ref="J3:J66" si="4">C3*(G3-H3)</f>
        <v>10692393000</v>
      </c>
      <c r="K3" s="53">
        <f t="shared" ref="K3:K66" si="5">D3*(G3-H3)</f>
        <v>7993707000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940</v>
      </c>
      <c r="H4" s="36">
        <f t="shared" si="2"/>
        <v>0</v>
      </c>
      <c r="I4" s="11">
        <f t="shared" si="3"/>
        <v>0</v>
      </c>
      <c r="J4" s="53">
        <f t="shared" si="4"/>
        <v>7990000</v>
      </c>
      <c r="K4" s="53">
        <f t="shared" si="5"/>
        <v>-7990000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938</v>
      </c>
      <c r="H5" s="36">
        <f t="shared" si="2"/>
        <v>1</v>
      </c>
      <c r="I5" s="11">
        <f t="shared" si="3"/>
        <v>1874000000</v>
      </c>
      <c r="J5" s="53">
        <f t="shared" si="4"/>
        <v>0</v>
      </c>
      <c r="K5" s="53">
        <f t="shared" si="5"/>
        <v>1874000000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931</v>
      </c>
      <c r="H6" s="36">
        <f t="shared" si="2"/>
        <v>0</v>
      </c>
      <c r="I6" s="11">
        <f t="shared" si="3"/>
        <v>-4655000</v>
      </c>
      <c r="J6" s="53">
        <f t="shared" si="4"/>
        <v>0</v>
      </c>
      <c r="K6" s="53">
        <f t="shared" si="5"/>
        <v>-4655000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927</v>
      </c>
      <c r="H7" s="36">
        <f t="shared" si="2"/>
        <v>0</v>
      </c>
      <c r="I7" s="11">
        <f t="shared" si="3"/>
        <v>-1112863500</v>
      </c>
      <c r="J7" s="53">
        <f t="shared" si="4"/>
        <v>0</v>
      </c>
      <c r="K7" s="53">
        <f t="shared" si="5"/>
        <v>-1112863500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926</v>
      </c>
      <c r="H8" s="36">
        <f t="shared" si="2"/>
        <v>0</v>
      </c>
      <c r="I8" s="11">
        <f t="shared" si="3"/>
        <v>-185200000</v>
      </c>
      <c r="J8" s="53">
        <f t="shared" si="4"/>
        <v>0</v>
      </c>
      <c r="K8" s="53">
        <f t="shared" si="5"/>
        <v>-185200000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924</v>
      </c>
      <c r="H9" s="36">
        <f t="shared" si="2"/>
        <v>0</v>
      </c>
      <c r="I9" s="11">
        <f t="shared" si="3"/>
        <v>-651882000</v>
      </c>
      <c r="J9" s="53">
        <f t="shared" si="4"/>
        <v>0</v>
      </c>
      <c r="K9" s="53">
        <f t="shared" si="5"/>
        <v>-651882000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915</v>
      </c>
      <c r="H10" s="36">
        <f t="shared" si="2"/>
        <v>0</v>
      </c>
      <c r="I10" s="11">
        <f t="shared" si="3"/>
        <v>-183000000</v>
      </c>
      <c r="J10" s="53">
        <f t="shared" si="4"/>
        <v>0</v>
      </c>
      <c r="K10" s="53">
        <f t="shared" si="5"/>
        <v>-183000000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915</v>
      </c>
      <c r="H11" s="36">
        <f t="shared" si="2"/>
        <v>1</v>
      </c>
      <c r="I11" s="11">
        <f t="shared" si="3"/>
        <v>914000000</v>
      </c>
      <c r="J11" s="53">
        <f t="shared" si="4"/>
        <v>0</v>
      </c>
      <c r="K11" s="53">
        <f t="shared" si="5"/>
        <v>914000000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911</v>
      </c>
      <c r="H12" s="36">
        <f t="shared" si="2"/>
        <v>0</v>
      </c>
      <c r="I12" s="11">
        <f t="shared" si="3"/>
        <v>-273300000</v>
      </c>
      <c r="J12" s="53">
        <f t="shared" si="4"/>
        <v>0</v>
      </c>
      <c r="K12" s="53">
        <f t="shared" si="5"/>
        <v>-273300000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906</v>
      </c>
      <c r="H13" s="36">
        <f t="shared" si="2"/>
        <v>0</v>
      </c>
      <c r="I13" s="11">
        <f t="shared" si="3"/>
        <v>-56172000</v>
      </c>
      <c r="J13" s="53">
        <f t="shared" si="4"/>
        <v>0</v>
      </c>
      <c r="K13" s="53">
        <f t="shared" si="5"/>
        <v>-56172000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906</v>
      </c>
      <c r="H14" s="36">
        <f t="shared" si="2"/>
        <v>1</v>
      </c>
      <c r="I14" s="11">
        <f t="shared" si="3"/>
        <v>1810000000</v>
      </c>
      <c r="J14" s="53">
        <f t="shared" si="4"/>
        <v>0</v>
      </c>
      <c r="K14" s="53">
        <f t="shared" si="5"/>
        <v>1810000000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905</v>
      </c>
      <c r="H15" s="36">
        <f t="shared" si="2"/>
        <v>1</v>
      </c>
      <c r="I15" s="11">
        <f t="shared" si="3"/>
        <v>1627200000</v>
      </c>
      <c r="J15" s="53">
        <f t="shared" si="4"/>
        <v>0</v>
      </c>
      <c r="K15" s="53">
        <f t="shared" si="5"/>
        <v>1627200000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905</v>
      </c>
      <c r="H16" s="36">
        <f t="shared" si="2"/>
        <v>0</v>
      </c>
      <c r="I16" s="11">
        <f t="shared" si="3"/>
        <v>-181000000</v>
      </c>
      <c r="J16" s="53">
        <f t="shared" si="4"/>
        <v>0</v>
      </c>
      <c r="K16" s="53">
        <f t="shared" si="5"/>
        <v>-181000000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901</v>
      </c>
      <c r="H17" s="36">
        <f t="shared" si="2"/>
        <v>0</v>
      </c>
      <c r="I17" s="11">
        <f t="shared" si="3"/>
        <v>-1802000000</v>
      </c>
      <c r="J17" s="53">
        <f t="shared" si="4"/>
        <v>0</v>
      </c>
      <c r="K17" s="53">
        <f t="shared" si="5"/>
        <v>-1802000000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900</v>
      </c>
      <c r="H18" s="36">
        <f t="shared" si="2"/>
        <v>0</v>
      </c>
      <c r="I18" s="11">
        <f t="shared" si="3"/>
        <v>-270000000</v>
      </c>
      <c r="J18" s="53">
        <f t="shared" si="4"/>
        <v>0</v>
      </c>
      <c r="K18" s="53">
        <f t="shared" si="5"/>
        <v>-270000000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899</v>
      </c>
      <c r="H19" s="36">
        <f t="shared" si="2"/>
        <v>0</v>
      </c>
      <c r="I19" s="11">
        <f t="shared" si="3"/>
        <v>-179800000</v>
      </c>
      <c r="J19" s="53">
        <f t="shared" si="4"/>
        <v>0</v>
      </c>
      <c r="K19" s="53">
        <f t="shared" si="5"/>
        <v>-179800000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897</v>
      </c>
      <c r="H20" s="36">
        <f t="shared" si="2"/>
        <v>1</v>
      </c>
      <c r="I20" s="11">
        <f t="shared" si="3"/>
        <v>242895744</v>
      </c>
      <c r="J20" s="53">
        <f t="shared" si="4"/>
        <v>132116992</v>
      </c>
      <c r="K20" s="53">
        <f t="shared" si="5"/>
        <v>110778752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895</v>
      </c>
      <c r="H21" s="36">
        <f t="shared" si="2"/>
        <v>0</v>
      </c>
      <c r="I21" s="11">
        <f t="shared" si="3"/>
        <v>-1347601500</v>
      </c>
      <c r="J21" s="53">
        <f t="shared" si="4"/>
        <v>0</v>
      </c>
      <c r="K21" s="53">
        <f t="shared" si="5"/>
        <v>-1347601500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892</v>
      </c>
      <c r="H22" s="36">
        <f t="shared" si="2"/>
        <v>1</v>
      </c>
      <c r="I22" s="11">
        <f t="shared" si="3"/>
        <v>2673000000</v>
      </c>
      <c r="J22" s="53">
        <f t="shared" si="4"/>
        <v>0</v>
      </c>
      <c r="K22" s="53">
        <f t="shared" si="5"/>
        <v>2673000000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891</v>
      </c>
      <c r="H23" s="36">
        <f t="shared" si="2"/>
        <v>1</v>
      </c>
      <c r="I23" s="11">
        <f t="shared" si="3"/>
        <v>890000000</v>
      </c>
      <c r="J23" s="53">
        <f t="shared" si="4"/>
        <v>0</v>
      </c>
      <c r="K23" s="53">
        <f t="shared" si="5"/>
        <v>890000000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890</v>
      </c>
      <c r="H24" s="36">
        <f t="shared" si="2"/>
        <v>0</v>
      </c>
      <c r="I24" s="11">
        <f t="shared" si="3"/>
        <v>-2670801000</v>
      </c>
      <c r="J24" s="53">
        <f t="shared" si="4"/>
        <v>0</v>
      </c>
      <c r="K24" s="53">
        <f t="shared" si="5"/>
        <v>-2670801000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875</v>
      </c>
      <c r="H25" s="36">
        <f t="shared" si="2"/>
        <v>1</v>
      </c>
      <c r="I25" s="11">
        <f t="shared" si="3"/>
        <v>1311000000</v>
      </c>
      <c r="J25" s="53">
        <f t="shared" si="4"/>
        <v>0</v>
      </c>
      <c r="K25" s="53">
        <f t="shared" si="5"/>
        <v>1311000000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867</v>
      </c>
      <c r="H26" s="36">
        <f t="shared" si="2"/>
        <v>0</v>
      </c>
      <c r="I26" s="11">
        <f t="shared" si="3"/>
        <v>-142188000</v>
      </c>
      <c r="J26" s="53">
        <f t="shared" si="4"/>
        <v>0</v>
      </c>
      <c r="K26" s="53">
        <f t="shared" si="5"/>
        <v>-142188000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866</v>
      </c>
      <c r="H27" s="36">
        <f t="shared" si="2"/>
        <v>1</v>
      </c>
      <c r="I27" s="11">
        <f t="shared" si="3"/>
        <v>172474945</v>
      </c>
      <c r="J27" s="53">
        <f t="shared" si="4"/>
        <v>92912245</v>
      </c>
      <c r="K27" s="53">
        <f t="shared" si="5"/>
        <v>79562700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864</v>
      </c>
      <c r="H28" s="36">
        <f t="shared" si="2"/>
        <v>0</v>
      </c>
      <c r="I28" s="11">
        <f t="shared" si="3"/>
        <v>-190944000</v>
      </c>
      <c r="J28" s="53">
        <f t="shared" si="4"/>
        <v>-190944000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864</v>
      </c>
      <c r="H29" s="36">
        <f t="shared" si="2"/>
        <v>0</v>
      </c>
      <c r="I29" s="11">
        <f t="shared" si="3"/>
        <v>-432432000</v>
      </c>
      <c r="J29" s="53">
        <f t="shared" si="4"/>
        <v>0</v>
      </c>
      <c r="K29" s="53">
        <f t="shared" si="5"/>
        <v>-432432000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864</v>
      </c>
      <c r="H30" s="36">
        <f t="shared" si="2"/>
        <v>0</v>
      </c>
      <c r="I30" s="11">
        <f t="shared" si="3"/>
        <v>-12960000000</v>
      </c>
      <c r="J30" s="53">
        <f t="shared" si="4"/>
        <v>-12960000000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847</v>
      </c>
      <c r="H31" s="36">
        <f t="shared" si="2"/>
        <v>0</v>
      </c>
      <c r="I31" s="11">
        <f t="shared" si="3"/>
        <v>-2550232300</v>
      </c>
      <c r="J31" s="53">
        <f t="shared" si="4"/>
        <v>0</v>
      </c>
      <c r="K31" s="53">
        <f t="shared" si="5"/>
        <v>-2550232300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845</v>
      </c>
      <c r="H32" s="36">
        <f t="shared" si="2"/>
        <v>0</v>
      </c>
      <c r="I32" s="11">
        <f t="shared" si="3"/>
        <v>-2539985500</v>
      </c>
      <c r="J32" s="53">
        <f t="shared" si="4"/>
        <v>0</v>
      </c>
      <c r="K32" s="53">
        <f t="shared" si="5"/>
        <v>-2539985500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844</v>
      </c>
      <c r="H33" s="36">
        <f t="shared" si="2"/>
        <v>0</v>
      </c>
      <c r="I33" s="11">
        <f t="shared" si="3"/>
        <v>-755802000</v>
      </c>
      <c r="J33" s="53">
        <f t="shared" si="4"/>
        <v>0</v>
      </c>
      <c r="K33" s="53">
        <f t="shared" si="5"/>
        <v>-755802000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844</v>
      </c>
      <c r="H34" s="36">
        <f t="shared" si="2"/>
        <v>0</v>
      </c>
      <c r="I34" s="11">
        <f t="shared" si="3"/>
        <v>0</v>
      </c>
      <c r="J34" s="53">
        <f t="shared" si="4"/>
        <v>844000000</v>
      </c>
      <c r="K34" s="53">
        <f t="shared" si="5"/>
        <v>-844000000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835</v>
      </c>
      <c r="H35" s="36">
        <f t="shared" si="2"/>
        <v>1</v>
      </c>
      <c r="I35" s="11">
        <f t="shared" si="3"/>
        <v>43761648</v>
      </c>
      <c r="J35" s="53">
        <f t="shared" si="4"/>
        <v>-18066942</v>
      </c>
      <c r="K35" s="53">
        <f t="shared" si="5"/>
        <v>61828590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835</v>
      </c>
      <c r="H36" s="36">
        <f t="shared" si="2"/>
        <v>0</v>
      </c>
      <c r="I36" s="11">
        <f t="shared" si="3"/>
        <v>0</v>
      </c>
      <c r="J36" s="53">
        <f t="shared" si="4"/>
        <v>18088605</v>
      </c>
      <c r="K36" s="53">
        <f t="shared" si="5"/>
        <v>-18088605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825</v>
      </c>
      <c r="H37" s="36">
        <f t="shared" si="2"/>
        <v>0</v>
      </c>
      <c r="I37" s="11">
        <f t="shared" si="3"/>
        <v>-45375000</v>
      </c>
      <c r="J37" s="53">
        <f t="shared" si="4"/>
        <v>0</v>
      </c>
      <c r="K37" s="53">
        <f t="shared" si="5"/>
        <v>-45375000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824</v>
      </c>
      <c r="H38" s="36">
        <f t="shared" si="2"/>
        <v>1</v>
      </c>
      <c r="I38" s="11">
        <f t="shared" si="3"/>
        <v>2469000000</v>
      </c>
      <c r="J38" s="53">
        <f t="shared" si="4"/>
        <v>2469000000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823</v>
      </c>
      <c r="H39" s="36">
        <f t="shared" si="2"/>
        <v>1</v>
      </c>
      <c r="I39" s="11">
        <f t="shared" si="3"/>
        <v>2055000000</v>
      </c>
      <c r="J39" s="53">
        <f t="shared" si="4"/>
        <v>2055000000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823</v>
      </c>
      <c r="H40" s="36">
        <f t="shared" si="2"/>
        <v>0</v>
      </c>
      <c r="I40" s="11">
        <f t="shared" si="3"/>
        <v>-41150000</v>
      </c>
      <c r="J40" s="53">
        <f t="shared" si="4"/>
        <v>0</v>
      </c>
      <c r="K40" s="53">
        <f t="shared" si="5"/>
        <v>-41150000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823</v>
      </c>
      <c r="H41" s="36">
        <f t="shared" si="2"/>
        <v>1</v>
      </c>
      <c r="I41" s="11">
        <f t="shared" si="3"/>
        <v>2466000000</v>
      </c>
      <c r="J41" s="53">
        <f t="shared" si="4"/>
        <v>0</v>
      </c>
      <c r="K41" s="53">
        <f t="shared" si="5"/>
        <v>2466000000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820</v>
      </c>
      <c r="H42" s="36">
        <f t="shared" si="2"/>
        <v>0</v>
      </c>
      <c r="I42" s="11">
        <f t="shared" si="3"/>
        <v>-73144000</v>
      </c>
      <c r="J42" s="53">
        <f t="shared" si="4"/>
        <v>0</v>
      </c>
      <c r="K42" s="53">
        <f t="shared" si="5"/>
        <v>-73144000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816</v>
      </c>
      <c r="H43" s="36">
        <f t="shared" si="2"/>
        <v>0</v>
      </c>
      <c r="I43" s="11">
        <f t="shared" si="3"/>
        <v>-163200000</v>
      </c>
      <c r="J43" s="53">
        <f t="shared" si="4"/>
        <v>0</v>
      </c>
      <c r="K43" s="53">
        <f t="shared" si="5"/>
        <v>-163200000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814</v>
      </c>
      <c r="H44" s="36">
        <f t="shared" si="2"/>
        <v>0</v>
      </c>
      <c r="I44" s="11">
        <f t="shared" si="3"/>
        <v>-162800000</v>
      </c>
      <c r="J44" s="53">
        <f t="shared" si="4"/>
        <v>0</v>
      </c>
      <c r="K44" s="53">
        <f t="shared" si="5"/>
        <v>-162800000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814</v>
      </c>
      <c r="H45" s="36">
        <f t="shared" si="2"/>
        <v>0</v>
      </c>
      <c r="I45" s="11">
        <f t="shared" si="3"/>
        <v>-455840000</v>
      </c>
      <c r="J45" s="53">
        <f t="shared" si="4"/>
        <v>0</v>
      </c>
      <c r="K45" s="53">
        <f t="shared" si="5"/>
        <v>-455840000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810</v>
      </c>
      <c r="H46" s="36">
        <f t="shared" si="2"/>
        <v>0</v>
      </c>
      <c r="I46" s="11">
        <f t="shared" si="3"/>
        <v>-571455000</v>
      </c>
      <c r="J46" s="53">
        <f t="shared" si="4"/>
        <v>0</v>
      </c>
      <c r="K46" s="53">
        <f t="shared" si="5"/>
        <v>-571455000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804</v>
      </c>
      <c r="H47" s="36">
        <f t="shared" si="2"/>
        <v>1</v>
      </c>
      <c r="I47" s="11">
        <f t="shared" si="3"/>
        <v>33086812</v>
      </c>
      <c r="J47" s="53">
        <f t="shared" si="4"/>
        <v>5390539</v>
      </c>
      <c r="K47" s="53">
        <f t="shared" si="5"/>
        <v>27696273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804</v>
      </c>
      <c r="H48" s="36">
        <f t="shared" si="2"/>
        <v>1</v>
      </c>
      <c r="I48" s="11">
        <f t="shared" si="3"/>
        <v>1368874100</v>
      </c>
      <c r="J48" s="53">
        <f t="shared" si="4"/>
        <v>0</v>
      </c>
      <c r="K48" s="53">
        <f t="shared" si="5"/>
        <v>1368874100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795</v>
      </c>
      <c r="H49" s="36">
        <f t="shared" si="2"/>
        <v>0</v>
      </c>
      <c r="I49" s="11">
        <f t="shared" si="3"/>
        <v>-123225000</v>
      </c>
      <c r="J49" s="53">
        <f t="shared" si="4"/>
        <v>0</v>
      </c>
      <c r="K49" s="53">
        <f t="shared" si="5"/>
        <v>-123225000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795</v>
      </c>
      <c r="H50" s="36">
        <f t="shared" si="2"/>
        <v>0</v>
      </c>
      <c r="I50" s="11">
        <f t="shared" si="3"/>
        <v>-109710000</v>
      </c>
      <c r="J50" s="53">
        <f t="shared" si="4"/>
        <v>0</v>
      </c>
      <c r="K50" s="53">
        <f t="shared" si="5"/>
        <v>-109710000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795</v>
      </c>
      <c r="H51" s="36">
        <f t="shared" si="2"/>
        <v>0</v>
      </c>
      <c r="I51" s="11">
        <f t="shared" si="3"/>
        <v>-588300000</v>
      </c>
      <c r="J51" s="53">
        <f t="shared" si="4"/>
        <v>0</v>
      </c>
      <c r="K51" s="53">
        <f t="shared" si="5"/>
        <v>-588300000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795</v>
      </c>
      <c r="H52" s="36">
        <f t="shared" si="2"/>
        <v>0</v>
      </c>
      <c r="I52" s="11">
        <f t="shared" si="3"/>
        <v>-159000000</v>
      </c>
      <c r="J52" s="53">
        <f t="shared" si="4"/>
        <v>0</v>
      </c>
      <c r="K52" s="53">
        <f t="shared" si="5"/>
        <v>-159000000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794</v>
      </c>
      <c r="H53" s="36">
        <f t="shared" si="2"/>
        <v>0</v>
      </c>
      <c r="I53" s="11">
        <f t="shared" si="3"/>
        <v>-837670000</v>
      </c>
      <c r="J53" s="53">
        <f t="shared" si="4"/>
        <v>0</v>
      </c>
      <c r="K53" s="53">
        <f t="shared" si="5"/>
        <v>-837670000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794</v>
      </c>
      <c r="H54" s="36">
        <f t="shared" si="2"/>
        <v>0</v>
      </c>
      <c r="I54" s="11">
        <f t="shared" si="3"/>
        <v>-158800000</v>
      </c>
      <c r="J54" s="53">
        <f t="shared" si="4"/>
        <v>0</v>
      </c>
      <c r="K54" s="53">
        <f t="shared" si="5"/>
        <v>-158800000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794</v>
      </c>
      <c r="H55" s="36">
        <f t="shared" si="2"/>
        <v>0</v>
      </c>
      <c r="I55" s="11">
        <f t="shared" si="3"/>
        <v>-794397000</v>
      </c>
      <c r="J55" s="53">
        <f t="shared" si="4"/>
        <v>0</v>
      </c>
      <c r="K55" s="53">
        <f t="shared" si="5"/>
        <v>-794397000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794</v>
      </c>
      <c r="H56" s="36">
        <f t="shared" si="2"/>
        <v>0</v>
      </c>
      <c r="I56" s="11">
        <f t="shared" si="3"/>
        <v>-30172000</v>
      </c>
      <c r="J56" s="53">
        <f t="shared" si="4"/>
        <v>0</v>
      </c>
      <c r="K56" s="53">
        <f t="shared" si="5"/>
        <v>-30172000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794</v>
      </c>
      <c r="H57" s="36">
        <f t="shared" si="2"/>
        <v>0</v>
      </c>
      <c r="I57" s="11">
        <f t="shared" si="3"/>
        <v>-83370000</v>
      </c>
      <c r="J57" s="53">
        <f t="shared" si="4"/>
        <v>0</v>
      </c>
      <c r="K57" s="53">
        <f t="shared" si="5"/>
        <v>-83370000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794</v>
      </c>
      <c r="H58" s="36">
        <f t="shared" si="2"/>
        <v>0</v>
      </c>
      <c r="I58" s="11">
        <f t="shared" si="3"/>
        <v>-47640000</v>
      </c>
      <c r="J58" s="53">
        <f t="shared" si="4"/>
        <v>0</v>
      </c>
      <c r="K58" s="53">
        <f t="shared" si="5"/>
        <v>-47640000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791</v>
      </c>
      <c r="H59" s="36">
        <f t="shared" si="2"/>
        <v>1</v>
      </c>
      <c r="I59" s="11">
        <f t="shared" si="3"/>
        <v>790000000</v>
      </c>
      <c r="J59" s="53">
        <f t="shared" si="4"/>
        <v>790000000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790</v>
      </c>
      <c r="H60" s="36">
        <f t="shared" si="2"/>
        <v>1</v>
      </c>
      <c r="I60" s="11">
        <f t="shared" si="3"/>
        <v>2761500000</v>
      </c>
      <c r="J60" s="53">
        <f t="shared" si="4"/>
        <v>2761500000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788</v>
      </c>
      <c r="H61" s="36">
        <f t="shared" si="2"/>
        <v>1</v>
      </c>
      <c r="I61" s="11">
        <f t="shared" si="3"/>
        <v>787000000</v>
      </c>
      <c r="J61" s="53">
        <f t="shared" si="4"/>
        <v>787000000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788</v>
      </c>
      <c r="H62" s="36">
        <f t="shared" si="2"/>
        <v>1</v>
      </c>
      <c r="I62" s="11">
        <f t="shared" si="3"/>
        <v>2361000000</v>
      </c>
      <c r="J62" s="53">
        <f t="shared" si="4"/>
        <v>2361000000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786</v>
      </c>
      <c r="H63" s="36">
        <f t="shared" si="2"/>
        <v>0</v>
      </c>
      <c r="I63" s="11">
        <f t="shared" si="3"/>
        <v>-157200000</v>
      </c>
      <c r="J63" s="53">
        <f t="shared" si="4"/>
        <v>0</v>
      </c>
      <c r="K63" s="53">
        <f t="shared" si="5"/>
        <v>-157200000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781</v>
      </c>
      <c r="H64" s="36">
        <f t="shared" si="2"/>
        <v>0</v>
      </c>
      <c r="I64" s="11">
        <f t="shared" si="3"/>
        <v>-39050000</v>
      </c>
      <c r="J64" s="53">
        <f t="shared" si="4"/>
        <v>0</v>
      </c>
      <c r="K64" s="53">
        <f t="shared" si="5"/>
        <v>-39050000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777</v>
      </c>
      <c r="H65" s="36">
        <f t="shared" si="2"/>
        <v>0</v>
      </c>
      <c r="I65" s="11">
        <f t="shared" si="3"/>
        <v>-155400000</v>
      </c>
      <c r="J65" s="53">
        <f t="shared" si="4"/>
        <v>0</v>
      </c>
      <c r="K65" s="53">
        <f t="shared" si="5"/>
        <v>-155400000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774</v>
      </c>
      <c r="H66" s="36">
        <f t="shared" si="2"/>
        <v>0</v>
      </c>
      <c r="I66" s="11">
        <f t="shared" si="3"/>
        <v>-131580000</v>
      </c>
      <c r="J66" s="53">
        <f t="shared" si="4"/>
        <v>0</v>
      </c>
      <c r="K66" s="53">
        <f t="shared" si="5"/>
        <v>-131580000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773</v>
      </c>
      <c r="H67" s="36">
        <f t="shared" ref="H67:H131" si="8">IF(B67&gt;0,1,0)</f>
        <v>1</v>
      </c>
      <c r="I67" s="11">
        <f t="shared" ref="I67:I119" si="9">B67*(G67-H67)</f>
        <v>70502900</v>
      </c>
      <c r="J67" s="53">
        <f t="shared" ref="J67:J131" si="10">C67*(G67-H67)</f>
        <v>50738156</v>
      </c>
      <c r="K67" s="53">
        <f t="shared" ref="K67:K131" si="11">D67*(G67-H67)</f>
        <v>19764744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755</v>
      </c>
      <c r="H68" s="36">
        <f t="shared" si="8"/>
        <v>0</v>
      </c>
      <c r="I68" s="11">
        <f t="shared" si="9"/>
        <v>-109475000</v>
      </c>
      <c r="J68" s="53">
        <f t="shared" si="10"/>
        <v>0</v>
      </c>
      <c r="K68" s="53">
        <f t="shared" si="11"/>
        <v>-109475000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748</v>
      </c>
      <c r="H69" s="36">
        <f t="shared" si="8"/>
        <v>1</v>
      </c>
      <c r="I69" s="11">
        <f t="shared" si="9"/>
        <v>732060000</v>
      </c>
      <c r="J69" s="53">
        <f t="shared" si="10"/>
        <v>0</v>
      </c>
      <c r="K69" s="53">
        <f t="shared" si="11"/>
        <v>732060000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745</v>
      </c>
      <c r="H70" s="36">
        <f t="shared" si="8"/>
        <v>0</v>
      </c>
      <c r="I70" s="11">
        <f t="shared" si="9"/>
        <v>-34270000</v>
      </c>
      <c r="J70" s="53">
        <f t="shared" si="10"/>
        <v>0</v>
      </c>
      <c r="K70" s="53">
        <f t="shared" si="11"/>
        <v>-34270000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743</v>
      </c>
      <c r="H71" s="36">
        <f t="shared" si="8"/>
        <v>1</v>
      </c>
      <c r="I71" s="11">
        <f t="shared" si="9"/>
        <v>85580796</v>
      </c>
      <c r="J71" s="53">
        <f t="shared" si="10"/>
        <v>77028504</v>
      </c>
      <c r="K71" s="53">
        <f t="shared" si="11"/>
        <v>8552292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742</v>
      </c>
      <c r="H72" s="36">
        <f t="shared" si="8"/>
        <v>0</v>
      </c>
      <c r="I72" s="11">
        <f t="shared" si="9"/>
        <v>-112760998</v>
      </c>
      <c r="J72" s="53">
        <f t="shared" si="10"/>
        <v>0</v>
      </c>
      <c r="K72" s="53">
        <f t="shared" si="11"/>
        <v>-112760998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741</v>
      </c>
      <c r="H73" s="36">
        <f t="shared" si="8"/>
        <v>0</v>
      </c>
      <c r="I73" s="11">
        <f t="shared" si="9"/>
        <v>-596875500</v>
      </c>
      <c r="J73" s="53">
        <f t="shared" si="10"/>
        <v>0</v>
      </c>
      <c r="K73" s="53">
        <f t="shared" si="11"/>
        <v>-596875500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734</v>
      </c>
      <c r="H74" s="36">
        <f t="shared" si="8"/>
        <v>1</v>
      </c>
      <c r="I74" s="11">
        <f t="shared" si="9"/>
        <v>5127335000</v>
      </c>
      <c r="J74" s="53">
        <f t="shared" si="10"/>
        <v>0</v>
      </c>
      <c r="K74" s="53">
        <f t="shared" si="11"/>
        <v>5127335000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733</v>
      </c>
      <c r="H75" s="36">
        <f t="shared" si="8"/>
        <v>1</v>
      </c>
      <c r="I75" s="11">
        <f t="shared" si="9"/>
        <v>2196000000</v>
      </c>
      <c r="J75" s="53">
        <f t="shared" si="10"/>
        <v>0</v>
      </c>
      <c r="K75" s="53">
        <f t="shared" si="11"/>
        <v>2196000000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731</v>
      </c>
      <c r="H76" s="36">
        <f t="shared" si="8"/>
        <v>1</v>
      </c>
      <c r="I76" s="11">
        <f t="shared" si="9"/>
        <v>2190000000</v>
      </c>
      <c r="J76" s="53">
        <f t="shared" si="10"/>
        <v>0</v>
      </c>
      <c r="K76" s="53">
        <f t="shared" si="11"/>
        <v>2190000000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730</v>
      </c>
      <c r="H77" s="36">
        <f t="shared" si="8"/>
        <v>1</v>
      </c>
      <c r="I77" s="11">
        <f t="shared" si="9"/>
        <v>2187000000</v>
      </c>
      <c r="J77" s="53">
        <f t="shared" si="10"/>
        <v>0</v>
      </c>
      <c r="K77" s="53">
        <f t="shared" si="11"/>
        <v>2187000000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729</v>
      </c>
      <c r="H78" s="36">
        <f t="shared" si="8"/>
        <v>0</v>
      </c>
      <c r="I78" s="11">
        <f t="shared" si="9"/>
        <v>-2332800000</v>
      </c>
      <c r="J78" s="53">
        <f t="shared" si="10"/>
        <v>-2332800000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728</v>
      </c>
      <c r="H79" s="36">
        <f t="shared" si="8"/>
        <v>0</v>
      </c>
      <c r="I79" s="11">
        <f t="shared" si="9"/>
        <v>-582400000</v>
      </c>
      <c r="J79" s="53">
        <f t="shared" si="10"/>
        <v>-582400000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727</v>
      </c>
      <c r="H80" s="36">
        <f t="shared" si="8"/>
        <v>0</v>
      </c>
      <c r="I80" s="11">
        <f t="shared" si="9"/>
        <v>-35181711</v>
      </c>
      <c r="J80" s="53">
        <f t="shared" si="10"/>
        <v>0</v>
      </c>
      <c r="K80" s="53">
        <f t="shared" si="11"/>
        <v>-35181711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726</v>
      </c>
      <c r="H81" s="36">
        <f t="shared" si="8"/>
        <v>0</v>
      </c>
      <c r="I81" s="11">
        <f t="shared" si="9"/>
        <v>-101640000</v>
      </c>
      <c r="J81" s="53">
        <f t="shared" si="10"/>
        <v>0</v>
      </c>
      <c r="K81" s="53">
        <f t="shared" si="11"/>
        <v>-101640000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725</v>
      </c>
      <c r="H82" s="36">
        <f t="shared" si="8"/>
        <v>0</v>
      </c>
      <c r="I82" s="11">
        <f t="shared" si="9"/>
        <v>-181250000</v>
      </c>
      <c r="J82" s="53">
        <f t="shared" si="10"/>
        <v>0</v>
      </c>
      <c r="K82" s="53">
        <f t="shared" si="11"/>
        <v>-181250000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724</v>
      </c>
      <c r="H83" s="36">
        <f t="shared" si="8"/>
        <v>0</v>
      </c>
      <c r="I83" s="11">
        <f t="shared" si="9"/>
        <v>-144800000</v>
      </c>
      <c r="J83" s="53">
        <f t="shared" si="10"/>
        <v>0</v>
      </c>
      <c r="K83" s="53">
        <f t="shared" si="11"/>
        <v>-144800000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721</v>
      </c>
      <c r="H84" s="36">
        <f t="shared" si="8"/>
        <v>1</v>
      </c>
      <c r="I84" s="11">
        <f t="shared" si="9"/>
        <v>1177344000</v>
      </c>
      <c r="J84" s="53">
        <f t="shared" si="10"/>
        <v>0</v>
      </c>
      <c r="K84" s="53">
        <f t="shared" si="11"/>
        <v>1177344000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717</v>
      </c>
      <c r="H85" s="36">
        <f t="shared" si="8"/>
        <v>1</v>
      </c>
      <c r="I85" s="11">
        <f t="shared" si="9"/>
        <v>1790000000</v>
      </c>
      <c r="J85" s="53">
        <f t="shared" si="10"/>
        <v>0</v>
      </c>
      <c r="K85" s="53">
        <f t="shared" si="11"/>
        <v>1790000000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713</v>
      </c>
      <c r="H86" s="36">
        <f t="shared" si="8"/>
        <v>1</v>
      </c>
      <c r="I86" s="11">
        <f t="shared" si="9"/>
        <v>132645600</v>
      </c>
      <c r="J86" s="53">
        <f t="shared" si="10"/>
        <v>60484400</v>
      </c>
      <c r="K86" s="53">
        <f t="shared" si="11"/>
        <v>72161200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710</v>
      </c>
      <c r="H87" s="36">
        <f t="shared" si="8"/>
        <v>0</v>
      </c>
      <c r="I87" s="11">
        <f t="shared" si="9"/>
        <v>-142000000</v>
      </c>
      <c r="J87" s="53">
        <f t="shared" si="10"/>
        <v>0</v>
      </c>
      <c r="K87" s="53">
        <f t="shared" si="11"/>
        <v>-142000000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709</v>
      </c>
      <c r="H88" s="36">
        <f t="shared" si="8"/>
        <v>0</v>
      </c>
      <c r="I88" s="11">
        <f t="shared" si="9"/>
        <v>-83662000</v>
      </c>
      <c r="J88" s="53">
        <f t="shared" si="10"/>
        <v>-48921000</v>
      </c>
      <c r="K88" s="53">
        <f t="shared" si="11"/>
        <v>-34741000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701</v>
      </c>
      <c r="H89" s="36">
        <f t="shared" si="8"/>
        <v>0</v>
      </c>
      <c r="I89" s="11">
        <f t="shared" si="9"/>
        <v>-2243830900</v>
      </c>
      <c r="J89" s="53">
        <f t="shared" si="10"/>
        <v>0</v>
      </c>
      <c r="K89" s="53">
        <f t="shared" si="11"/>
        <v>-2243830900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700</v>
      </c>
      <c r="H90" s="36">
        <f t="shared" si="8"/>
        <v>0</v>
      </c>
      <c r="I90" s="11">
        <f t="shared" si="9"/>
        <v>-2240630000</v>
      </c>
      <c r="J90" s="53">
        <f t="shared" si="10"/>
        <v>0</v>
      </c>
      <c r="K90" s="53">
        <f t="shared" si="11"/>
        <v>-2240630000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699</v>
      </c>
      <c r="H91" s="36">
        <f t="shared" si="8"/>
        <v>0</v>
      </c>
      <c r="I91" s="11">
        <f t="shared" si="9"/>
        <v>-2237429100</v>
      </c>
      <c r="J91" s="53">
        <f t="shared" si="10"/>
        <v>0</v>
      </c>
      <c r="K91" s="53">
        <f t="shared" si="11"/>
        <v>-2237429100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698</v>
      </c>
      <c r="H92" s="36">
        <f t="shared" si="8"/>
        <v>0</v>
      </c>
      <c r="I92" s="11">
        <f t="shared" si="9"/>
        <v>-2234228200</v>
      </c>
      <c r="J92" s="53">
        <f t="shared" si="10"/>
        <v>0</v>
      </c>
      <c r="K92" s="53">
        <f t="shared" si="11"/>
        <v>-2234228200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697</v>
      </c>
      <c r="H93" s="36">
        <f t="shared" si="8"/>
        <v>0</v>
      </c>
      <c r="I93" s="11">
        <f t="shared" si="9"/>
        <v>-2231027300</v>
      </c>
      <c r="J93" s="53">
        <f t="shared" si="10"/>
        <v>0</v>
      </c>
      <c r="K93" s="53">
        <f t="shared" si="11"/>
        <v>-2231027300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696</v>
      </c>
      <c r="H94" s="36">
        <f t="shared" si="8"/>
        <v>0</v>
      </c>
      <c r="I94" s="11">
        <f t="shared" si="9"/>
        <v>-2227826400</v>
      </c>
      <c r="J94" s="53">
        <f t="shared" si="10"/>
        <v>0</v>
      </c>
      <c r="K94" s="53">
        <f t="shared" si="11"/>
        <v>-2227826400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694</v>
      </c>
      <c r="H95" s="36">
        <f t="shared" si="8"/>
        <v>0</v>
      </c>
      <c r="I95" s="11">
        <f t="shared" si="9"/>
        <v>-830437624</v>
      </c>
      <c r="J95" s="53">
        <f t="shared" si="10"/>
        <v>0</v>
      </c>
      <c r="K95" s="53">
        <f t="shared" si="11"/>
        <v>-830437624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684</v>
      </c>
      <c r="H96" s="36">
        <f t="shared" si="8"/>
        <v>0</v>
      </c>
      <c r="I96" s="11">
        <f t="shared" si="9"/>
        <v>-136800000</v>
      </c>
      <c r="J96" s="53">
        <f t="shared" si="10"/>
        <v>0</v>
      </c>
      <c r="K96" s="53">
        <f t="shared" si="11"/>
        <v>-136800000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683</v>
      </c>
      <c r="H97" s="36">
        <f t="shared" si="8"/>
        <v>1</v>
      </c>
      <c r="I97" s="11">
        <f t="shared" si="9"/>
        <v>108818556</v>
      </c>
      <c r="J97" s="53">
        <f t="shared" si="10"/>
        <v>47007532</v>
      </c>
      <c r="K97" s="53">
        <f t="shared" si="11"/>
        <v>61811024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678</v>
      </c>
      <c r="H98" s="36">
        <f t="shared" si="8"/>
        <v>1</v>
      </c>
      <c r="I98" s="11">
        <f t="shared" si="9"/>
        <v>77427136</v>
      </c>
      <c r="J98" s="53">
        <f t="shared" si="10"/>
        <v>0</v>
      </c>
      <c r="K98" s="53">
        <f t="shared" si="11"/>
        <v>77427136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675</v>
      </c>
      <c r="H99" s="36">
        <f t="shared" si="8"/>
        <v>0</v>
      </c>
      <c r="I99" s="11">
        <f t="shared" si="9"/>
        <v>-894375000</v>
      </c>
      <c r="J99" s="53">
        <f t="shared" si="10"/>
        <v>0</v>
      </c>
      <c r="K99" s="53">
        <f t="shared" si="11"/>
        <v>-894375000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670</v>
      </c>
      <c r="H100" s="36">
        <f t="shared" si="8"/>
        <v>1</v>
      </c>
      <c r="I100" s="11">
        <f t="shared" si="9"/>
        <v>886425000</v>
      </c>
      <c r="J100" s="53">
        <f t="shared" si="10"/>
        <v>0</v>
      </c>
      <c r="K100" s="53">
        <f t="shared" si="11"/>
        <v>886425000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653</v>
      </c>
      <c r="H101" s="36">
        <f t="shared" si="8"/>
        <v>1</v>
      </c>
      <c r="I101" s="11">
        <f t="shared" si="9"/>
        <v>43582940</v>
      </c>
      <c r="J101" s="53">
        <f t="shared" si="10"/>
        <v>43582940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650</v>
      </c>
      <c r="H102" s="36">
        <f t="shared" si="8"/>
        <v>1</v>
      </c>
      <c r="I102" s="11">
        <f t="shared" si="9"/>
        <v>1947000000</v>
      </c>
      <c r="J102" s="53">
        <f t="shared" si="10"/>
        <v>0</v>
      </c>
      <c r="K102" s="53">
        <f t="shared" si="11"/>
        <v>1947000000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643</v>
      </c>
      <c r="H103" s="36">
        <f t="shared" si="8"/>
        <v>0</v>
      </c>
      <c r="I103" s="11">
        <f t="shared" si="9"/>
        <v>-643000000</v>
      </c>
      <c r="J103" s="53">
        <f t="shared" si="10"/>
        <v>-643000000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633</v>
      </c>
      <c r="H104" s="36">
        <f t="shared" si="8"/>
        <v>1</v>
      </c>
      <c r="I104" s="11">
        <f t="shared" si="9"/>
        <v>1896000000</v>
      </c>
      <c r="J104" s="53">
        <f t="shared" si="10"/>
        <v>1896000000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632</v>
      </c>
      <c r="H105" s="36">
        <f t="shared" si="8"/>
        <v>1</v>
      </c>
      <c r="I105" s="11">
        <f t="shared" si="9"/>
        <v>706720000</v>
      </c>
      <c r="J105" s="53">
        <f t="shared" si="10"/>
        <v>706720000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632</v>
      </c>
      <c r="H106" s="36">
        <f t="shared" si="8"/>
        <v>0</v>
      </c>
      <c r="I106" s="11">
        <f t="shared" si="9"/>
        <v>-1896000000</v>
      </c>
      <c r="J106" s="53">
        <f t="shared" si="10"/>
        <v>0</v>
      </c>
      <c r="K106" s="53">
        <f t="shared" si="11"/>
        <v>-1896000000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623</v>
      </c>
      <c r="H107" s="36">
        <f t="shared" si="8"/>
        <v>1</v>
      </c>
      <c r="I107" s="11">
        <f t="shared" si="9"/>
        <v>56287268</v>
      </c>
      <c r="J107" s="53">
        <f t="shared" si="10"/>
        <v>46721530</v>
      </c>
      <c r="K107" s="53">
        <f t="shared" si="11"/>
        <v>9565738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621</v>
      </c>
      <c r="H108" s="36">
        <f t="shared" si="8"/>
        <v>0</v>
      </c>
      <c r="I108" s="11">
        <f t="shared" si="9"/>
        <v>-1056134700</v>
      </c>
      <c r="J108" s="53">
        <f t="shared" si="10"/>
        <v>0</v>
      </c>
      <c r="K108" s="53">
        <f t="shared" si="11"/>
        <v>-1056134700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617</v>
      </c>
      <c r="H109" s="36">
        <f t="shared" si="8"/>
        <v>0</v>
      </c>
      <c r="I109" s="11">
        <f t="shared" si="9"/>
        <v>-617308500</v>
      </c>
      <c r="J109" s="53">
        <f t="shared" si="10"/>
        <v>0</v>
      </c>
      <c r="K109" s="53">
        <f t="shared" si="11"/>
        <v>-617308500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614</v>
      </c>
      <c r="H110" s="36">
        <f t="shared" si="8"/>
        <v>1</v>
      </c>
      <c r="I110" s="11">
        <f t="shared" si="9"/>
        <v>12260000000</v>
      </c>
      <c r="J110" s="53">
        <f t="shared" si="10"/>
        <v>0</v>
      </c>
      <c r="K110" s="53">
        <f t="shared" si="11"/>
        <v>12260000000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594</v>
      </c>
      <c r="H111" s="36">
        <f t="shared" si="8"/>
        <v>1</v>
      </c>
      <c r="I111" s="11">
        <f t="shared" si="9"/>
        <v>103584054</v>
      </c>
      <c r="J111" s="53">
        <f t="shared" si="10"/>
        <v>51806259</v>
      </c>
      <c r="K111" s="53">
        <f t="shared" si="11"/>
        <v>51777795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578</v>
      </c>
      <c r="H112" s="36">
        <f t="shared" si="8"/>
        <v>0</v>
      </c>
      <c r="I112" s="11">
        <f t="shared" si="9"/>
        <v>-16415200000</v>
      </c>
      <c r="J112" s="53">
        <f t="shared" si="10"/>
        <v>0</v>
      </c>
      <c r="K112" s="53">
        <f t="shared" si="11"/>
        <v>-16415200000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563</v>
      </c>
      <c r="H113" s="36">
        <f t="shared" si="8"/>
        <v>1</v>
      </c>
      <c r="I113" s="11">
        <f t="shared" si="9"/>
        <v>91628480</v>
      </c>
      <c r="J113" s="53">
        <f t="shared" si="10"/>
        <v>68851182</v>
      </c>
      <c r="K113" s="53">
        <f t="shared" si="11"/>
        <v>22777298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563</v>
      </c>
      <c r="H114" s="36">
        <f t="shared" si="8"/>
        <v>0</v>
      </c>
      <c r="I114" s="11">
        <f t="shared" si="9"/>
        <v>-3209100</v>
      </c>
      <c r="J114" s="53">
        <f t="shared" si="10"/>
        <v>-1407500</v>
      </c>
      <c r="K114" s="53">
        <f t="shared" si="11"/>
        <v>-1801600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550</v>
      </c>
      <c r="H115" s="36">
        <f t="shared" si="8"/>
        <v>0</v>
      </c>
      <c r="I115" s="11">
        <f t="shared" si="9"/>
        <v>0</v>
      </c>
      <c r="J115" s="53">
        <f t="shared" si="10"/>
        <v>275000000</v>
      </c>
      <c r="K115" s="53">
        <f t="shared" si="11"/>
        <v>-275000000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542</v>
      </c>
      <c r="H116" s="36">
        <f t="shared" si="8"/>
        <v>0</v>
      </c>
      <c r="I116" s="11">
        <f t="shared" si="9"/>
        <v>-86720000</v>
      </c>
      <c r="J116" s="53">
        <f t="shared" si="10"/>
        <v>0</v>
      </c>
      <c r="K116" s="53">
        <f t="shared" si="11"/>
        <v>-86720000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533</v>
      </c>
      <c r="H117" s="36">
        <f t="shared" si="8"/>
        <v>1</v>
      </c>
      <c r="I117" s="11">
        <f t="shared" si="9"/>
        <v>787360</v>
      </c>
      <c r="J117" s="53">
        <f t="shared" si="10"/>
        <v>56892612</v>
      </c>
      <c r="K117" s="53">
        <f t="shared" si="11"/>
        <v>-56105252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511</v>
      </c>
      <c r="H118" s="36">
        <f t="shared" si="8"/>
        <v>1</v>
      </c>
      <c r="I118" s="11">
        <f t="shared" si="9"/>
        <v>20093745000</v>
      </c>
      <c r="J118" s="53">
        <f t="shared" si="10"/>
        <v>0</v>
      </c>
      <c r="K118" s="53">
        <f t="shared" si="11"/>
        <v>20093745000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502</v>
      </c>
      <c r="H119" s="36">
        <f t="shared" si="8"/>
        <v>1</v>
      </c>
      <c r="I119" s="11">
        <f t="shared" si="9"/>
        <v>47856021</v>
      </c>
      <c r="J119" s="53">
        <f t="shared" si="10"/>
        <v>55137054</v>
      </c>
      <c r="K119" s="53">
        <f t="shared" si="11"/>
        <v>-7281033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498</v>
      </c>
      <c r="H120" s="11">
        <f t="shared" si="8"/>
        <v>1</v>
      </c>
      <c r="I120" s="11">
        <f t="shared" ref="I120:I266" si="13">B120*(G120-H120)</f>
        <v>994000000</v>
      </c>
      <c r="J120" s="11">
        <f t="shared" si="10"/>
        <v>0</v>
      </c>
      <c r="K120" s="11">
        <f t="shared" si="11"/>
        <v>994000000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472</v>
      </c>
      <c r="H121" s="11">
        <f t="shared" si="8"/>
        <v>1</v>
      </c>
      <c r="I121" s="11">
        <f t="shared" si="13"/>
        <v>1224600000</v>
      </c>
      <c r="J121" s="11">
        <f t="shared" si="10"/>
        <v>0</v>
      </c>
      <c r="K121" s="11">
        <f t="shared" si="11"/>
        <v>1224600000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471</v>
      </c>
      <c r="H122" s="11">
        <f t="shared" si="8"/>
        <v>1</v>
      </c>
      <c r="I122" s="11">
        <f t="shared" si="13"/>
        <v>180738970</v>
      </c>
      <c r="J122" s="11">
        <f t="shared" si="10"/>
        <v>52126760</v>
      </c>
      <c r="K122" s="11">
        <f t="shared" si="11"/>
        <v>128612210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470</v>
      </c>
      <c r="H123" s="11">
        <f t="shared" si="8"/>
        <v>0</v>
      </c>
      <c r="I123" s="11">
        <f t="shared" si="13"/>
        <v>0</v>
      </c>
      <c r="J123" s="11">
        <f t="shared" si="10"/>
        <v>376000000</v>
      </c>
      <c r="K123" s="11">
        <f t="shared" si="11"/>
        <v>-376000000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456</v>
      </c>
      <c r="H124" s="11">
        <f t="shared" si="8"/>
        <v>0</v>
      </c>
      <c r="I124" s="11">
        <f t="shared" si="13"/>
        <v>-1368000000</v>
      </c>
      <c r="J124" s="11">
        <f t="shared" si="10"/>
        <v>0</v>
      </c>
      <c r="K124" s="11">
        <f t="shared" si="11"/>
        <v>-1368000000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441</v>
      </c>
      <c r="H125" s="11">
        <f t="shared" si="8"/>
        <v>1</v>
      </c>
      <c r="I125" s="11">
        <f t="shared" si="13"/>
        <v>176312400</v>
      </c>
      <c r="J125" s="11">
        <f t="shared" si="10"/>
        <v>52305000</v>
      </c>
      <c r="K125" s="11">
        <f t="shared" si="11"/>
        <v>124007400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441</v>
      </c>
      <c r="H126" s="11">
        <f t="shared" si="8"/>
        <v>1</v>
      </c>
      <c r="I126" s="11">
        <f t="shared" si="13"/>
        <v>18480000000</v>
      </c>
      <c r="J126" s="11">
        <f t="shared" si="10"/>
        <v>0</v>
      </c>
      <c r="K126" s="11">
        <f t="shared" si="11"/>
        <v>18480000000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416</v>
      </c>
      <c r="H127" s="11">
        <f t="shared" si="8"/>
        <v>0</v>
      </c>
      <c r="I127" s="11">
        <f t="shared" si="13"/>
        <v>-2080000</v>
      </c>
      <c r="J127" s="11">
        <f t="shared" si="10"/>
        <v>0</v>
      </c>
      <c r="K127" s="11">
        <f t="shared" si="11"/>
        <v>-2080000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410</v>
      </c>
      <c r="H128" s="11">
        <f t="shared" si="8"/>
        <v>1</v>
      </c>
      <c r="I128" s="11">
        <f t="shared" si="13"/>
        <v>315491966</v>
      </c>
      <c r="J128" s="11">
        <f t="shared" si="10"/>
        <v>49365073</v>
      </c>
      <c r="K128" s="11">
        <f t="shared" si="11"/>
        <v>266126893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407</v>
      </c>
      <c r="H129" s="11">
        <f t="shared" si="8"/>
        <v>1</v>
      </c>
      <c r="I129" s="11">
        <f t="shared" si="13"/>
        <v>1015000000</v>
      </c>
      <c r="J129" s="11">
        <f t="shared" si="10"/>
        <v>0</v>
      </c>
      <c r="K129" s="11">
        <f t="shared" si="11"/>
        <v>1015000000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393</v>
      </c>
      <c r="H130" s="11">
        <f t="shared" si="8"/>
        <v>0</v>
      </c>
      <c r="I130" s="11">
        <f t="shared" si="13"/>
        <v>-393000000</v>
      </c>
      <c r="J130" s="11">
        <f t="shared" si="10"/>
        <v>-393000000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388</v>
      </c>
      <c r="H131" s="11">
        <f t="shared" si="8"/>
        <v>0</v>
      </c>
      <c r="I131" s="11">
        <f t="shared" si="13"/>
        <v>-19400000000</v>
      </c>
      <c r="J131" s="11">
        <f t="shared" si="10"/>
        <v>0</v>
      </c>
      <c r="K131" s="11">
        <f t="shared" si="11"/>
        <v>-19400000000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380</v>
      </c>
      <c r="H132" s="11">
        <f t="shared" ref="H132:H266" si="15">IF(B132&gt;0,1,0)</f>
        <v>1</v>
      </c>
      <c r="I132" s="11">
        <f t="shared" si="13"/>
        <v>232814773</v>
      </c>
      <c r="J132" s="11">
        <f t="shared" ref="J132:J206" si="16">C132*(G132-H132)</f>
        <v>40163009</v>
      </c>
      <c r="K132" s="11">
        <f t="shared" ref="K132:K266" si="17">D132*(G132-H132)</f>
        <v>192651764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376</v>
      </c>
      <c r="H133" s="11">
        <f t="shared" si="15"/>
        <v>0</v>
      </c>
      <c r="I133" s="11">
        <f t="shared" si="13"/>
        <v>-455223200</v>
      </c>
      <c r="J133" s="11">
        <f t="shared" si="16"/>
        <v>0</v>
      </c>
      <c r="K133" s="11">
        <f t="shared" si="17"/>
        <v>-455223200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367</v>
      </c>
      <c r="H134" s="11">
        <f t="shared" si="15"/>
        <v>0</v>
      </c>
      <c r="I134" s="11">
        <f t="shared" si="13"/>
        <v>-23855000</v>
      </c>
      <c r="J134" s="11">
        <f t="shared" si="16"/>
        <v>0</v>
      </c>
      <c r="K134" s="11">
        <f t="shared" si="17"/>
        <v>-23855000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367</v>
      </c>
      <c r="H135" s="11">
        <f t="shared" si="15"/>
        <v>0</v>
      </c>
      <c r="I135" s="11">
        <f t="shared" si="13"/>
        <v>-11854100</v>
      </c>
      <c r="J135" s="11">
        <f t="shared" si="16"/>
        <v>0</v>
      </c>
      <c r="K135" s="11">
        <f t="shared" si="17"/>
        <v>-11854100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359</v>
      </c>
      <c r="H136" s="11">
        <f t="shared" si="15"/>
        <v>0</v>
      </c>
      <c r="I136" s="11">
        <f t="shared" si="13"/>
        <v>-359000000</v>
      </c>
      <c r="J136" s="11">
        <f t="shared" si="16"/>
        <v>-359000000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350</v>
      </c>
      <c r="H137" s="11">
        <f t="shared" si="15"/>
        <v>1</v>
      </c>
      <c r="I137" s="11">
        <f t="shared" si="13"/>
        <v>101514677</v>
      </c>
      <c r="J137" s="11">
        <f t="shared" si="16"/>
        <v>33978291</v>
      </c>
      <c r="K137" s="11">
        <f t="shared" si="17"/>
        <v>67536386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333</v>
      </c>
      <c r="H138" s="11">
        <f t="shared" si="15"/>
        <v>0</v>
      </c>
      <c r="I138" s="11">
        <f t="shared" si="13"/>
        <v>-333166500</v>
      </c>
      <c r="J138" s="11">
        <f t="shared" si="16"/>
        <v>-333166500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321</v>
      </c>
      <c r="H139" s="11">
        <f t="shared" si="15"/>
        <v>1</v>
      </c>
      <c r="I139" s="11">
        <f t="shared" si="13"/>
        <v>90316800</v>
      </c>
      <c r="J139" s="11">
        <f t="shared" si="16"/>
        <v>28418240</v>
      </c>
      <c r="K139" s="11">
        <f t="shared" si="17"/>
        <v>61898560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318</v>
      </c>
      <c r="H140" s="11">
        <f t="shared" si="15"/>
        <v>1</v>
      </c>
      <c r="I140" s="11">
        <f t="shared" si="13"/>
        <v>475500000</v>
      </c>
      <c r="J140" s="11">
        <f t="shared" si="16"/>
        <v>0</v>
      </c>
      <c r="K140" s="11">
        <f t="shared" si="17"/>
        <v>475500000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305</v>
      </c>
      <c r="H141" s="11">
        <f t="shared" si="15"/>
        <v>0</v>
      </c>
      <c r="I141" s="11">
        <f t="shared" si="13"/>
        <v>0</v>
      </c>
      <c r="J141" s="11">
        <f t="shared" si="16"/>
        <v>-305000000</v>
      </c>
      <c r="K141" s="11">
        <f t="shared" si="17"/>
        <v>305000000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291</v>
      </c>
      <c r="H142" s="11">
        <f t="shared" si="15"/>
        <v>1</v>
      </c>
      <c r="I142" s="11">
        <f t="shared" si="13"/>
        <v>84358970</v>
      </c>
      <c r="J142" s="11">
        <f t="shared" si="16"/>
        <v>23496380</v>
      </c>
      <c r="K142" s="11">
        <f t="shared" si="17"/>
        <v>60862590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271</v>
      </c>
      <c r="H143" s="11">
        <f t="shared" si="15"/>
        <v>0</v>
      </c>
      <c r="I143" s="11">
        <f t="shared" si="13"/>
        <v>0</v>
      </c>
      <c r="J143" s="11">
        <f t="shared" si="16"/>
        <v>-271000000</v>
      </c>
      <c r="K143" s="11">
        <f t="shared" si="17"/>
        <v>271000000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261</v>
      </c>
      <c r="H144" s="11">
        <f t="shared" si="15"/>
        <v>1</v>
      </c>
      <c r="I144" s="11">
        <f t="shared" si="13"/>
        <v>76661520</v>
      </c>
      <c r="J144" s="11">
        <f t="shared" si="16"/>
        <v>19410820</v>
      </c>
      <c r="K144" s="11">
        <f t="shared" si="17"/>
        <v>57250700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246</v>
      </c>
      <c r="H145" s="11">
        <f t="shared" si="15"/>
        <v>0</v>
      </c>
      <c r="I145" s="11">
        <f t="shared" si="13"/>
        <v>-2460000</v>
      </c>
      <c r="J145" s="11">
        <f t="shared" si="16"/>
        <v>-1230000</v>
      </c>
      <c r="K145" s="11">
        <f t="shared" si="17"/>
        <v>-1230000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241</v>
      </c>
      <c r="H146" s="11">
        <f t="shared" si="15"/>
        <v>0</v>
      </c>
      <c r="I146" s="11">
        <f t="shared" si="13"/>
        <v>-241120500</v>
      </c>
      <c r="J146" s="11">
        <f t="shared" si="16"/>
        <v>-241120500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235</v>
      </c>
      <c r="H147" s="11">
        <f t="shared" si="15"/>
        <v>0</v>
      </c>
      <c r="I147" s="11">
        <f t="shared" si="13"/>
        <v>-6345000000</v>
      </c>
      <c r="J147" s="11">
        <f t="shared" si="16"/>
        <v>0</v>
      </c>
      <c r="K147" s="11">
        <f t="shared" si="17"/>
        <v>-6345000000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232</v>
      </c>
      <c r="H148" s="11">
        <f t="shared" si="15"/>
        <v>1</v>
      </c>
      <c r="I148" s="11">
        <f t="shared" si="13"/>
        <v>58312716</v>
      </c>
      <c r="J148" s="11">
        <f t="shared" si="16"/>
        <v>15132810</v>
      </c>
      <c r="K148" s="11">
        <f t="shared" si="17"/>
        <v>43179906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224</v>
      </c>
      <c r="H149" s="11">
        <f t="shared" si="15"/>
        <v>1</v>
      </c>
      <c r="I149" s="11">
        <f t="shared" si="13"/>
        <v>11685200000</v>
      </c>
      <c r="J149" s="11">
        <f t="shared" si="16"/>
        <v>0</v>
      </c>
      <c r="K149" s="11">
        <f t="shared" si="17"/>
        <v>11685200000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217</v>
      </c>
      <c r="H150" s="11">
        <f t="shared" si="15"/>
        <v>0</v>
      </c>
      <c r="I150" s="11">
        <f t="shared" si="13"/>
        <v>-11284000000</v>
      </c>
      <c r="J150" s="11">
        <f t="shared" si="16"/>
        <v>0</v>
      </c>
      <c r="K150" s="11">
        <f t="shared" si="17"/>
        <v>-11284000000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212</v>
      </c>
      <c r="H151" s="99">
        <f t="shared" si="15"/>
        <v>0</v>
      </c>
      <c r="I151" s="99">
        <f t="shared" si="13"/>
        <v>-1696000000</v>
      </c>
      <c r="J151" s="99">
        <f t="shared" si="16"/>
        <v>-1435691772</v>
      </c>
      <c r="K151" s="11">
        <f t="shared" si="17"/>
        <v>-260308228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212</v>
      </c>
      <c r="H152" s="99">
        <f t="shared" si="15"/>
        <v>0</v>
      </c>
      <c r="I152" s="99">
        <f t="shared" si="13"/>
        <v>-6620760</v>
      </c>
      <c r="J152" s="99">
        <f t="shared" si="16"/>
        <v>0</v>
      </c>
      <c r="K152" s="99">
        <f t="shared" si="17"/>
        <v>-6620760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201</v>
      </c>
      <c r="H153" s="99">
        <f t="shared" si="15"/>
        <v>1</v>
      </c>
      <c r="I153" s="99">
        <f t="shared" si="13"/>
        <v>27017400</v>
      </c>
      <c r="J153" s="99">
        <f t="shared" si="16"/>
        <v>8226000</v>
      </c>
      <c r="K153" s="99">
        <f t="shared" si="17"/>
        <v>18791400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198</v>
      </c>
      <c r="H154" s="99">
        <f t="shared" si="15"/>
        <v>1</v>
      </c>
      <c r="I154" s="99">
        <f t="shared" si="13"/>
        <v>1344344154</v>
      </c>
      <c r="J154" s="99">
        <f t="shared" si="16"/>
        <v>1344344154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193</v>
      </c>
      <c r="H155" s="99">
        <f t="shared" si="15"/>
        <v>0</v>
      </c>
      <c r="I155" s="99">
        <f t="shared" si="13"/>
        <v>-38600000</v>
      </c>
      <c r="J155" s="99">
        <f t="shared" si="16"/>
        <v>0</v>
      </c>
      <c r="K155" s="99">
        <f t="shared" si="17"/>
        <v>-38600000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193</v>
      </c>
      <c r="H156" s="99">
        <f t="shared" si="15"/>
        <v>0</v>
      </c>
      <c r="I156" s="99">
        <f t="shared" si="13"/>
        <v>-47833120</v>
      </c>
      <c r="J156" s="99">
        <f t="shared" si="16"/>
        <v>0</v>
      </c>
      <c r="K156" s="99">
        <f t="shared" si="17"/>
        <v>-47833120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192</v>
      </c>
      <c r="H157" s="99">
        <f t="shared" si="15"/>
        <v>0</v>
      </c>
      <c r="I157" s="99">
        <f t="shared" si="13"/>
        <v>-31169280</v>
      </c>
      <c r="J157" s="99">
        <f t="shared" si="16"/>
        <v>0</v>
      </c>
      <c r="K157" s="99">
        <f t="shared" si="17"/>
        <v>-31169280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192</v>
      </c>
      <c r="H158" s="99">
        <f t="shared" si="15"/>
        <v>0</v>
      </c>
      <c r="I158" s="99">
        <f t="shared" si="13"/>
        <v>-576172800</v>
      </c>
      <c r="J158" s="99">
        <f t="shared" si="16"/>
        <v>0</v>
      </c>
      <c r="K158" s="99">
        <f t="shared" si="17"/>
        <v>-576172800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190</v>
      </c>
      <c r="H159" s="99">
        <f t="shared" si="15"/>
        <v>0</v>
      </c>
      <c r="I159" s="99">
        <f t="shared" si="13"/>
        <v>-190095000</v>
      </c>
      <c r="J159" s="99">
        <f t="shared" si="16"/>
        <v>0</v>
      </c>
      <c r="K159" s="99">
        <f t="shared" si="17"/>
        <v>-190095000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186</v>
      </c>
      <c r="H160" s="99">
        <f t="shared" si="15"/>
        <v>0</v>
      </c>
      <c r="I160" s="99">
        <f t="shared" si="13"/>
        <v>-18600000</v>
      </c>
      <c r="J160" s="99">
        <f t="shared" si="16"/>
        <v>0</v>
      </c>
      <c r="K160" s="99">
        <f t="shared" si="17"/>
        <v>-18600000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185</v>
      </c>
      <c r="H161" s="99">
        <f t="shared" si="15"/>
        <v>0</v>
      </c>
      <c r="I161" s="99">
        <f t="shared" si="13"/>
        <v>-370000000</v>
      </c>
      <c r="J161" s="99">
        <f t="shared" si="16"/>
        <v>0</v>
      </c>
      <c r="K161" s="99">
        <f t="shared" si="17"/>
        <v>-370000000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185</v>
      </c>
      <c r="H162" s="99">
        <f t="shared" si="15"/>
        <v>0</v>
      </c>
      <c r="I162" s="99">
        <f t="shared" si="13"/>
        <v>-185092500</v>
      </c>
      <c r="J162" s="99">
        <f t="shared" si="16"/>
        <v>0</v>
      </c>
      <c r="K162" s="99">
        <f t="shared" si="17"/>
        <v>-185092500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182</v>
      </c>
      <c r="H163" s="99">
        <f t="shared" si="15"/>
        <v>0</v>
      </c>
      <c r="I163" s="99">
        <f t="shared" si="13"/>
        <v>-910000</v>
      </c>
      <c r="J163" s="99">
        <f t="shared" si="16"/>
        <v>0</v>
      </c>
      <c r="K163" s="99">
        <f t="shared" si="17"/>
        <v>-910000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172</v>
      </c>
      <c r="H164" s="99">
        <f t="shared" si="15"/>
        <v>1</v>
      </c>
      <c r="I164" s="99">
        <f t="shared" si="13"/>
        <v>513000000</v>
      </c>
      <c r="J164" s="99">
        <f t="shared" si="16"/>
        <v>0</v>
      </c>
      <c r="K164" s="99">
        <f t="shared" si="17"/>
        <v>513000000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171</v>
      </c>
      <c r="H165" s="99">
        <f t="shared" si="15"/>
        <v>1</v>
      </c>
      <c r="I165" s="99">
        <f t="shared" si="13"/>
        <v>510000000</v>
      </c>
      <c r="J165" s="99">
        <f t="shared" si="16"/>
        <v>0</v>
      </c>
      <c r="K165" s="99">
        <f t="shared" si="17"/>
        <v>510000000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170</v>
      </c>
      <c r="H166" s="99">
        <f t="shared" si="15"/>
        <v>1</v>
      </c>
      <c r="I166" s="99">
        <f t="shared" si="13"/>
        <v>3433066</v>
      </c>
      <c r="J166" s="99">
        <f t="shared" si="16"/>
        <v>10113298</v>
      </c>
      <c r="K166" s="99">
        <f t="shared" si="17"/>
        <v>-6680232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165</v>
      </c>
      <c r="H167" s="99">
        <f t="shared" si="15"/>
        <v>0</v>
      </c>
      <c r="I167" s="99">
        <f t="shared" si="13"/>
        <v>-495148500</v>
      </c>
      <c r="J167" s="99">
        <f t="shared" si="16"/>
        <v>0</v>
      </c>
      <c r="K167" s="99">
        <f t="shared" si="17"/>
        <v>-495148500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147</v>
      </c>
      <c r="H168" s="99">
        <f t="shared" si="15"/>
        <v>0</v>
      </c>
      <c r="I168" s="99">
        <f t="shared" si="13"/>
        <v>-441132300</v>
      </c>
      <c r="J168" s="99">
        <f t="shared" si="16"/>
        <v>0</v>
      </c>
      <c r="K168" s="99">
        <f t="shared" si="17"/>
        <v>-441132300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139</v>
      </c>
      <c r="H169" s="99">
        <f t="shared" si="15"/>
        <v>1</v>
      </c>
      <c r="I169" s="99">
        <f t="shared" si="13"/>
        <v>2995290</v>
      </c>
      <c r="J169" s="99">
        <f t="shared" si="16"/>
        <v>9455070</v>
      </c>
      <c r="K169" s="99">
        <f t="shared" si="17"/>
        <v>-6459780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115</v>
      </c>
      <c r="H170" s="99">
        <f t="shared" si="15"/>
        <v>1</v>
      </c>
      <c r="I170" s="99">
        <f t="shared" si="13"/>
        <v>570000000</v>
      </c>
      <c r="J170" s="99">
        <f t="shared" si="16"/>
        <v>0</v>
      </c>
      <c r="K170" s="99">
        <f t="shared" si="17"/>
        <v>570000000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114</v>
      </c>
      <c r="H171" s="99">
        <f t="shared" si="15"/>
        <v>0</v>
      </c>
      <c r="I171" s="99">
        <f t="shared" si="13"/>
        <v>-570000000</v>
      </c>
      <c r="J171" s="99">
        <f t="shared" si="16"/>
        <v>0</v>
      </c>
      <c r="K171" s="99">
        <f t="shared" si="17"/>
        <v>-570000000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108</v>
      </c>
      <c r="H172" s="99">
        <f t="shared" si="15"/>
        <v>1</v>
      </c>
      <c r="I172" s="99">
        <f t="shared" si="13"/>
        <v>53072</v>
      </c>
      <c r="J172" s="99">
        <f t="shared" si="16"/>
        <v>6706867</v>
      </c>
      <c r="K172" s="99">
        <f t="shared" si="17"/>
        <v>-6653795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107</v>
      </c>
      <c r="H173" s="99">
        <f t="shared" si="15"/>
        <v>1</v>
      </c>
      <c r="I173" s="99">
        <f t="shared" si="13"/>
        <v>83210000</v>
      </c>
      <c r="J173" s="99">
        <f t="shared" si="16"/>
        <v>0</v>
      </c>
      <c r="K173" s="99">
        <f t="shared" si="17"/>
        <v>83210000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96</v>
      </c>
      <c r="H174" s="99">
        <f t="shared" si="15"/>
        <v>0</v>
      </c>
      <c r="I174" s="99">
        <f t="shared" si="13"/>
        <v>-3072000</v>
      </c>
      <c r="J174" s="99">
        <f t="shared" si="16"/>
        <v>0</v>
      </c>
      <c r="K174" s="99">
        <f t="shared" si="17"/>
        <v>-3072000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94</v>
      </c>
      <c r="H175" s="99">
        <f t="shared" si="15"/>
        <v>0</v>
      </c>
      <c r="I175" s="99">
        <f t="shared" si="13"/>
        <v>-70500000</v>
      </c>
      <c r="J175" s="99">
        <f t="shared" si="16"/>
        <v>0</v>
      </c>
      <c r="K175" s="99">
        <f t="shared" si="17"/>
        <v>-70500000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85</v>
      </c>
      <c r="H176" s="99">
        <f t="shared" si="15"/>
        <v>0</v>
      </c>
      <c r="I176" s="99">
        <f t="shared" si="13"/>
        <v>-798660</v>
      </c>
      <c r="J176" s="99">
        <f t="shared" si="16"/>
        <v>0</v>
      </c>
      <c r="K176" s="99">
        <f t="shared" si="17"/>
        <v>-798660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84</v>
      </c>
      <c r="H177" s="99">
        <f t="shared" si="15"/>
        <v>0</v>
      </c>
      <c r="I177" s="99">
        <f t="shared" si="13"/>
        <v>-3637200</v>
      </c>
      <c r="J177" s="99">
        <f t="shared" si="16"/>
        <v>0</v>
      </c>
      <c r="K177" s="99">
        <f t="shared" si="17"/>
        <v>-3637200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81</v>
      </c>
      <c r="H178" s="99">
        <f t="shared" si="15"/>
        <v>1</v>
      </c>
      <c r="I178" s="99">
        <f t="shared" si="13"/>
        <v>28800000</v>
      </c>
      <c r="J178" s="99">
        <f t="shared" si="16"/>
        <v>0</v>
      </c>
      <c r="K178" s="99">
        <f t="shared" si="17"/>
        <v>28800000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79</v>
      </c>
      <c r="H179" s="99">
        <f t="shared" si="15"/>
        <v>1</v>
      </c>
      <c r="I179" s="99">
        <f t="shared" si="13"/>
        <v>234000000</v>
      </c>
      <c r="J179" s="99">
        <f t="shared" si="16"/>
        <v>0</v>
      </c>
      <c r="K179" s="99">
        <f t="shared" si="17"/>
        <v>234000000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79</v>
      </c>
      <c r="H180" s="99">
        <f t="shared" si="15"/>
        <v>0</v>
      </c>
      <c r="I180" s="99">
        <f t="shared" si="13"/>
        <v>-951950</v>
      </c>
      <c r="J180" s="99">
        <f t="shared" si="16"/>
        <v>0</v>
      </c>
      <c r="K180" s="99">
        <f t="shared" si="17"/>
        <v>-951950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77</v>
      </c>
      <c r="H181" s="99">
        <f t="shared" si="15"/>
        <v>1</v>
      </c>
      <c r="I181" s="99">
        <f t="shared" si="13"/>
        <v>228000000</v>
      </c>
      <c r="J181" s="99">
        <f t="shared" si="16"/>
        <v>0</v>
      </c>
      <c r="K181" s="99">
        <f t="shared" si="17"/>
        <v>228000000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75</v>
      </c>
      <c r="H182" s="99">
        <f t="shared" si="15"/>
        <v>0</v>
      </c>
      <c r="I182" s="99">
        <f t="shared" si="13"/>
        <v>-2685000</v>
      </c>
      <c r="J182" s="99">
        <f t="shared" si="16"/>
        <v>0</v>
      </c>
      <c r="K182" s="99">
        <f t="shared" si="17"/>
        <v>-2685000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74</v>
      </c>
      <c r="H183" s="99">
        <f t="shared" si="15"/>
        <v>1</v>
      </c>
      <c r="I183" s="99">
        <f t="shared" si="13"/>
        <v>262800000</v>
      </c>
      <c r="J183" s="99">
        <f t="shared" si="16"/>
        <v>0</v>
      </c>
      <c r="K183" s="99">
        <f t="shared" si="17"/>
        <v>262800000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74</v>
      </c>
      <c r="H184" s="99">
        <f t="shared" si="15"/>
        <v>0</v>
      </c>
      <c r="I184" s="99">
        <f t="shared" si="13"/>
        <v>-2469898</v>
      </c>
      <c r="J184" s="99">
        <f t="shared" si="16"/>
        <v>0</v>
      </c>
      <c r="K184" s="99">
        <f t="shared" si="17"/>
        <v>-2469898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71</v>
      </c>
      <c r="H185" s="99">
        <f t="shared" si="15"/>
        <v>0</v>
      </c>
      <c r="I185" s="99">
        <f t="shared" si="13"/>
        <v>-695800000</v>
      </c>
      <c r="J185" s="99">
        <f t="shared" si="16"/>
        <v>0</v>
      </c>
      <c r="K185" s="99">
        <f t="shared" si="17"/>
        <v>-695800000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71</v>
      </c>
      <c r="H186" s="99">
        <f t="shared" si="15"/>
        <v>1</v>
      </c>
      <c r="I186" s="99">
        <f t="shared" si="13"/>
        <v>1260000000</v>
      </c>
      <c r="J186" s="99">
        <f t="shared" si="16"/>
        <v>0</v>
      </c>
      <c r="K186" s="99">
        <f t="shared" si="17"/>
        <v>1260000000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71</v>
      </c>
      <c r="H187" s="99">
        <f t="shared" si="15"/>
        <v>0</v>
      </c>
      <c r="I187" s="99">
        <f t="shared" si="13"/>
        <v>-639000000</v>
      </c>
      <c r="J187" s="99">
        <f t="shared" si="16"/>
        <v>0</v>
      </c>
      <c r="K187" s="99">
        <f t="shared" si="17"/>
        <v>-639000000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71</v>
      </c>
      <c r="H188" s="99">
        <f t="shared" si="15"/>
        <v>0</v>
      </c>
      <c r="I188" s="99">
        <f t="shared" si="13"/>
        <v>-823600</v>
      </c>
      <c r="J188" s="99">
        <f t="shared" si="16"/>
        <v>0</v>
      </c>
      <c r="K188" s="99">
        <f t="shared" si="17"/>
        <v>-823600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71</v>
      </c>
      <c r="H189" s="99">
        <f t="shared" si="15"/>
        <v>0</v>
      </c>
      <c r="I189" s="99">
        <f t="shared" si="13"/>
        <v>-234607217</v>
      </c>
      <c r="J189" s="99">
        <f t="shared" si="16"/>
        <v>0</v>
      </c>
      <c r="K189" s="99">
        <f t="shared" si="17"/>
        <v>-234607217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70</v>
      </c>
      <c r="H190" s="99">
        <f t="shared" si="15"/>
        <v>0</v>
      </c>
      <c r="I190" s="99">
        <f t="shared" si="13"/>
        <v>-210063000</v>
      </c>
      <c r="J190" s="99">
        <f t="shared" si="16"/>
        <v>0</v>
      </c>
      <c r="K190" s="99">
        <f t="shared" si="17"/>
        <v>-210063000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69</v>
      </c>
      <c r="H191" s="99">
        <f t="shared" si="15"/>
        <v>0</v>
      </c>
      <c r="I191" s="99">
        <f t="shared" si="13"/>
        <v>-190502100</v>
      </c>
      <c r="J191" s="99">
        <f t="shared" si="16"/>
        <v>0</v>
      </c>
      <c r="K191" s="99">
        <f t="shared" si="17"/>
        <v>-190502100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64</v>
      </c>
      <c r="H192" s="99">
        <f t="shared" si="15"/>
        <v>1</v>
      </c>
      <c r="I192" s="99">
        <f t="shared" si="13"/>
        <v>63000000</v>
      </c>
      <c r="J192" s="99">
        <f t="shared" si="16"/>
        <v>0</v>
      </c>
      <c r="K192" s="99">
        <f t="shared" si="17"/>
        <v>63000000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63</v>
      </c>
      <c r="H193" s="99">
        <f t="shared" si="15"/>
        <v>0</v>
      </c>
      <c r="I193" s="99">
        <f t="shared" si="13"/>
        <v>-945000</v>
      </c>
      <c r="J193" s="99">
        <f t="shared" si="16"/>
        <v>0</v>
      </c>
      <c r="K193" s="99">
        <f t="shared" si="17"/>
        <v>-945000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61</v>
      </c>
      <c r="H194" s="99">
        <f t="shared" si="15"/>
        <v>0</v>
      </c>
      <c r="I194" s="99">
        <f t="shared" si="13"/>
        <v>-60390000</v>
      </c>
      <c r="J194" s="99">
        <f t="shared" si="16"/>
        <v>0</v>
      </c>
      <c r="K194" s="99">
        <f t="shared" si="17"/>
        <v>-60390000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61</v>
      </c>
      <c r="H195" s="99">
        <f t="shared" si="15"/>
        <v>1</v>
      </c>
      <c r="I195" s="99">
        <f t="shared" si="13"/>
        <v>46980000</v>
      </c>
      <c r="J195" s="99">
        <f t="shared" si="16"/>
        <v>0</v>
      </c>
      <c r="K195" s="99">
        <f t="shared" si="17"/>
        <v>46980000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59</v>
      </c>
      <c r="H196" s="99">
        <f t="shared" si="15"/>
        <v>0</v>
      </c>
      <c r="I196" s="99">
        <f t="shared" si="13"/>
        <v>-44279500</v>
      </c>
      <c r="J196" s="99">
        <f t="shared" si="16"/>
        <v>0</v>
      </c>
      <c r="K196" s="99">
        <f t="shared" si="17"/>
        <v>-44279500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57</v>
      </c>
      <c r="H197" s="99">
        <f t="shared" si="15"/>
        <v>1</v>
      </c>
      <c r="I197" s="99">
        <f t="shared" si="13"/>
        <v>39200000</v>
      </c>
      <c r="J197" s="99">
        <f t="shared" si="16"/>
        <v>0</v>
      </c>
      <c r="K197" s="99">
        <f t="shared" si="17"/>
        <v>39200000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57</v>
      </c>
      <c r="H198" s="99">
        <f t="shared" si="15"/>
        <v>0</v>
      </c>
      <c r="I198" s="99">
        <f t="shared" si="13"/>
        <v>-5643000</v>
      </c>
      <c r="J198" s="99">
        <f t="shared" si="16"/>
        <v>0</v>
      </c>
      <c r="K198" s="99">
        <f t="shared" si="17"/>
        <v>-5643000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56</v>
      </c>
      <c r="H199" s="99">
        <f t="shared" si="15"/>
        <v>0</v>
      </c>
      <c r="I199" s="99">
        <f t="shared" si="13"/>
        <v>-11522000</v>
      </c>
      <c r="J199" s="99">
        <f t="shared" si="16"/>
        <v>0</v>
      </c>
      <c r="K199" s="99">
        <f t="shared" si="17"/>
        <v>-11522000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56</v>
      </c>
      <c r="H200" s="99">
        <f t="shared" si="15"/>
        <v>0</v>
      </c>
      <c r="I200" s="99">
        <f t="shared" si="13"/>
        <v>-5320000</v>
      </c>
      <c r="J200" s="99">
        <f t="shared" si="16"/>
        <v>0</v>
      </c>
      <c r="K200" s="99">
        <f t="shared" si="17"/>
        <v>-5320000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53</v>
      </c>
      <c r="H201" s="99">
        <f t="shared" si="15"/>
        <v>1</v>
      </c>
      <c r="I201" s="99">
        <f t="shared" si="13"/>
        <v>2529800000</v>
      </c>
      <c r="J201" s="99">
        <f t="shared" si="16"/>
        <v>0</v>
      </c>
      <c r="K201" s="99">
        <f t="shared" si="17"/>
        <v>2529800000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53</v>
      </c>
      <c r="H202" s="99">
        <f t="shared" si="15"/>
        <v>0</v>
      </c>
      <c r="I202" s="99">
        <f t="shared" si="13"/>
        <v>-159047700</v>
      </c>
      <c r="J202" s="99">
        <f t="shared" si="16"/>
        <v>0</v>
      </c>
      <c r="K202" s="99">
        <f t="shared" si="17"/>
        <v>-159047700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53</v>
      </c>
      <c r="H203" s="99">
        <f t="shared" si="15"/>
        <v>0</v>
      </c>
      <c r="I203" s="99">
        <f t="shared" si="13"/>
        <v>-265000</v>
      </c>
      <c r="J203" s="99">
        <f t="shared" si="16"/>
        <v>0</v>
      </c>
      <c r="K203" s="99">
        <f t="shared" si="17"/>
        <v>-265000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53</v>
      </c>
      <c r="H204" s="99">
        <f t="shared" si="15"/>
        <v>0</v>
      </c>
      <c r="I204" s="99">
        <f t="shared" si="13"/>
        <v>-1775500000</v>
      </c>
      <c r="J204" s="99">
        <f t="shared" si="16"/>
        <v>0</v>
      </c>
      <c r="K204" s="99">
        <f t="shared" si="17"/>
        <v>-1775500000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52</v>
      </c>
      <c r="H205" s="99">
        <f t="shared" si="15"/>
        <v>0</v>
      </c>
      <c r="I205" s="99">
        <f t="shared" si="13"/>
        <v>-646620000</v>
      </c>
      <c r="J205" s="99">
        <f t="shared" si="16"/>
        <v>0</v>
      </c>
      <c r="K205" s="99">
        <f t="shared" si="17"/>
        <v>-646620000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49</v>
      </c>
      <c r="H206" s="99">
        <f t="shared" si="15"/>
        <v>0</v>
      </c>
      <c r="I206" s="99">
        <f t="shared" si="13"/>
        <v>-906500</v>
      </c>
      <c r="J206" s="99">
        <f t="shared" si="16"/>
        <v>0</v>
      </c>
      <c r="K206" s="99">
        <f t="shared" si="17"/>
        <v>-906500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47</v>
      </c>
      <c r="H207" s="99">
        <f t="shared" si="15"/>
        <v>1</v>
      </c>
      <c r="I207" s="99">
        <f t="shared" si="13"/>
        <v>666080</v>
      </c>
      <c r="J207" s="99">
        <f t="shared" ref="J207:J266" si="20">C207*(G207-H207)</f>
        <v>3260204</v>
      </c>
      <c r="K207" s="99">
        <f t="shared" si="17"/>
        <v>-2594124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46</v>
      </c>
      <c r="H208" s="99">
        <f t="shared" si="15"/>
        <v>1</v>
      </c>
      <c r="I208" s="99">
        <f t="shared" si="13"/>
        <v>37350000</v>
      </c>
      <c r="J208" s="99">
        <f t="shared" si="20"/>
        <v>0</v>
      </c>
      <c r="K208" s="99">
        <f t="shared" si="17"/>
        <v>37350000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44</v>
      </c>
      <c r="H209" s="99">
        <f t="shared" si="15"/>
        <v>0</v>
      </c>
      <c r="I209" s="99">
        <f t="shared" si="13"/>
        <v>-2307360</v>
      </c>
      <c r="J209" s="99">
        <f t="shared" si="20"/>
        <v>0</v>
      </c>
      <c r="K209" s="99">
        <f t="shared" si="17"/>
        <v>-2307360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43</v>
      </c>
      <c r="H210" s="99">
        <f t="shared" si="15"/>
        <v>0</v>
      </c>
      <c r="I210" s="99">
        <f t="shared" si="13"/>
        <v>-2197300</v>
      </c>
      <c r="J210" s="99">
        <f t="shared" si="20"/>
        <v>0</v>
      </c>
      <c r="K210" s="99">
        <f t="shared" si="17"/>
        <v>-2197300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42</v>
      </c>
      <c r="H211" s="99">
        <f t="shared" si="15"/>
        <v>0</v>
      </c>
      <c r="I211" s="99">
        <f t="shared" si="13"/>
        <v>-8400000</v>
      </c>
      <c r="J211" s="99">
        <f t="shared" si="20"/>
        <v>0</v>
      </c>
      <c r="K211" s="99">
        <f t="shared" si="17"/>
        <v>-8400000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41</v>
      </c>
      <c r="H212" s="99">
        <f t="shared" si="15"/>
        <v>0</v>
      </c>
      <c r="I212" s="99">
        <f t="shared" si="13"/>
        <v>-1148000</v>
      </c>
      <c r="J212" s="99">
        <f t="shared" si="20"/>
        <v>0</v>
      </c>
      <c r="K212" s="99">
        <f t="shared" si="17"/>
        <v>-1148000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40</v>
      </c>
      <c r="H213" s="99">
        <f t="shared" si="15"/>
        <v>0</v>
      </c>
      <c r="I213" s="99">
        <f t="shared" si="13"/>
        <v>-2364000</v>
      </c>
      <c r="J213" s="99">
        <f t="shared" si="20"/>
        <v>0</v>
      </c>
      <c r="K213" s="99">
        <f t="shared" si="17"/>
        <v>-2364000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39</v>
      </c>
      <c r="H214" s="99">
        <f t="shared" si="15"/>
        <v>0</v>
      </c>
      <c r="I214" s="99">
        <f t="shared" si="13"/>
        <v>-1170000</v>
      </c>
      <c r="J214" s="99">
        <f t="shared" si="20"/>
        <v>0</v>
      </c>
      <c r="K214" s="99">
        <f t="shared" si="17"/>
        <v>-1170000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39</v>
      </c>
      <c r="H215" s="99">
        <f t="shared" si="15"/>
        <v>0</v>
      </c>
      <c r="I215" s="99">
        <f t="shared" si="13"/>
        <v>-6942000</v>
      </c>
      <c r="J215" s="99">
        <f t="shared" si="20"/>
        <v>0</v>
      </c>
      <c r="K215" s="99">
        <f t="shared" si="17"/>
        <v>-6942000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38</v>
      </c>
      <c r="H216" s="99">
        <f t="shared" si="15"/>
        <v>0</v>
      </c>
      <c r="I216" s="99">
        <f t="shared" si="13"/>
        <v>-3633180</v>
      </c>
      <c r="J216" s="99">
        <f t="shared" si="20"/>
        <v>0</v>
      </c>
      <c r="K216" s="99">
        <f t="shared" si="17"/>
        <v>-3633180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35</v>
      </c>
      <c r="H217" s="99">
        <f t="shared" si="15"/>
        <v>0</v>
      </c>
      <c r="I217" s="99">
        <f t="shared" si="13"/>
        <v>-2940000</v>
      </c>
      <c r="J217" s="99">
        <f t="shared" si="20"/>
        <v>0</v>
      </c>
      <c r="K217" s="99">
        <f t="shared" si="17"/>
        <v>-2940000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33</v>
      </c>
      <c r="H218" s="99">
        <f t="shared" si="15"/>
        <v>0</v>
      </c>
      <c r="I218" s="99">
        <f t="shared" si="13"/>
        <v>-1089000</v>
      </c>
      <c r="J218" s="99">
        <f t="shared" si="20"/>
        <v>0</v>
      </c>
      <c r="K218" s="99">
        <f t="shared" si="17"/>
        <v>-1089000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30</v>
      </c>
      <c r="H219" s="99">
        <f t="shared" si="15"/>
        <v>1</v>
      </c>
      <c r="I219" s="99">
        <f t="shared" si="13"/>
        <v>44892000</v>
      </c>
      <c r="J219" s="99">
        <f t="shared" si="20"/>
        <v>0</v>
      </c>
      <c r="K219" s="99">
        <f t="shared" si="17"/>
        <v>44892000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29</v>
      </c>
      <c r="H220" s="99">
        <f t="shared" si="15"/>
        <v>0</v>
      </c>
      <c r="I220" s="99">
        <f t="shared" si="13"/>
        <v>-40620300</v>
      </c>
      <c r="J220" s="99">
        <f t="shared" si="20"/>
        <v>0</v>
      </c>
      <c r="K220" s="99">
        <f t="shared" si="17"/>
        <v>-40620300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29</v>
      </c>
      <c r="H221" s="99">
        <f t="shared" si="15"/>
        <v>0</v>
      </c>
      <c r="I221" s="99">
        <f t="shared" si="13"/>
        <v>-290000</v>
      </c>
      <c r="J221" s="99">
        <f t="shared" si="20"/>
        <v>0</v>
      </c>
      <c r="K221" s="99">
        <f t="shared" si="17"/>
        <v>-290000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29</v>
      </c>
      <c r="H222" s="99">
        <f t="shared" si="15"/>
        <v>0</v>
      </c>
      <c r="I222" s="99">
        <f t="shared" si="13"/>
        <v>-145000</v>
      </c>
      <c r="J222" s="99">
        <f t="shared" si="20"/>
        <v>-72500</v>
      </c>
      <c r="K222" s="99">
        <f t="shared" si="17"/>
        <v>-72500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23</v>
      </c>
      <c r="H223" s="99">
        <f t="shared" si="15"/>
        <v>0</v>
      </c>
      <c r="I223" s="99">
        <f t="shared" si="13"/>
        <v>-4370000</v>
      </c>
      <c r="J223" s="99">
        <f t="shared" si="20"/>
        <v>0</v>
      </c>
      <c r="K223" s="99">
        <f t="shared" si="17"/>
        <v>-4370000</v>
      </c>
      <c r="M223" t="s">
        <v>25</v>
      </c>
    </row>
    <row r="224" spans="1:13">
      <c r="A224" s="99" t="s">
        <v>4321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16</v>
      </c>
      <c r="H224" s="99">
        <f t="shared" si="15"/>
        <v>1</v>
      </c>
      <c r="I224" s="99">
        <f t="shared" si="13"/>
        <v>28665</v>
      </c>
      <c r="J224" s="99">
        <f t="shared" si="20"/>
        <v>974580</v>
      </c>
      <c r="K224" s="99">
        <f t="shared" si="17"/>
        <v>-945915</v>
      </c>
      <c r="M224" t="s">
        <v>25</v>
      </c>
    </row>
    <row r="225" spans="1:13">
      <c r="A225" s="99" t="s">
        <v>4348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10</v>
      </c>
      <c r="H225" s="99">
        <f t="shared" si="15"/>
        <v>1</v>
      </c>
      <c r="I225" s="99">
        <f t="shared" si="13"/>
        <v>45000000</v>
      </c>
      <c r="J225" s="99">
        <f t="shared" si="20"/>
        <v>0</v>
      </c>
      <c r="K225" s="99">
        <f t="shared" si="17"/>
        <v>45000000</v>
      </c>
    </row>
    <row r="226" spans="1:13">
      <c r="A226" s="99" t="s">
        <v>4356</v>
      </c>
      <c r="B226" s="18">
        <v>-3200000</v>
      </c>
      <c r="C226" s="18">
        <v>0</v>
      </c>
      <c r="D226" s="18">
        <f t="shared" si="18"/>
        <v>-3200000</v>
      </c>
      <c r="E226" s="99" t="s">
        <v>4372</v>
      </c>
      <c r="F226" s="99">
        <v>0</v>
      </c>
      <c r="G226" s="36">
        <f t="shared" si="21"/>
        <v>9</v>
      </c>
      <c r="H226" s="99">
        <f t="shared" si="15"/>
        <v>0</v>
      </c>
      <c r="I226" s="99">
        <f t="shared" si="13"/>
        <v>-28800000</v>
      </c>
      <c r="J226" s="99">
        <f t="shared" si="20"/>
        <v>0</v>
      </c>
      <c r="K226" s="99">
        <f t="shared" si="17"/>
        <v>-28800000</v>
      </c>
    </row>
    <row r="227" spans="1:13">
      <c r="A227" s="99" t="s">
        <v>4356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9</v>
      </c>
      <c r="H227" s="99">
        <f t="shared" si="15"/>
        <v>1</v>
      </c>
      <c r="I227" s="99">
        <f t="shared" si="13"/>
        <v>19200000</v>
      </c>
      <c r="J227" s="99">
        <f t="shared" si="20"/>
        <v>0</v>
      </c>
      <c r="K227" s="99">
        <f t="shared" si="17"/>
        <v>19200000</v>
      </c>
    </row>
    <row r="228" spans="1:13">
      <c r="A228" s="99" t="s">
        <v>4389</v>
      </c>
      <c r="B228" s="18">
        <v>-50000</v>
      </c>
      <c r="C228" s="18">
        <v>0</v>
      </c>
      <c r="D228" s="18">
        <f t="shared" si="18"/>
        <v>-50000</v>
      </c>
      <c r="E228" s="99" t="s">
        <v>4393</v>
      </c>
      <c r="F228" s="99">
        <v>1</v>
      </c>
      <c r="G228" s="36">
        <f t="shared" si="21"/>
        <v>7</v>
      </c>
      <c r="H228" s="99">
        <f t="shared" si="15"/>
        <v>0</v>
      </c>
      <c r="I228" s="99">
        <f t="shared" si="13"/>
        <v>-350000</v>
      </c>
      <c r="J228" s="99">
        <f t="shared" si="20"/>
        <v>0</v>
      </c>
      <c r="K228" s="99">
        <f t="shared" si="17"/>
        <v>-350000</v>
      </c>
    </row>
    <row r="229" spans="1:13">
      <c r="A229" s="99" t="s">
        <v>4382</v>
      </c>
      <c r="B229" s="18">
        <v>-4100700</v>
      </c>
      <c r="C229" s="18">
        <v>0</v>
      </c>
      <c r="D229" s="18">
        <f t="shared" si="18"/>
        <v>-4100700</v>
      </c>
      <c r="E229" s="99" t="s">
        <v>4394</v>
      </c>
      <c r="F229" s="99">
        <v>4</v>
      </c>
      <c r="G229" s="36">
        <f t="shared" si="21"/>
        <v>6</v>
      </c>
      <c r="H229" s="99">
        <f t="shared" si="15"/>
        <v>0</v>
      </c>
      <c r="I229" s="99">
        <f t="shared" si="13"/>
        <v>-24604200</v>
      </c>
      <c r="J229" s="99">
        <f t="shared" si="20"/>
        <v>0</v>
      </c>
      <c r="K229" s="99">
        <f t="shared" si="17"/>
        <v>-24604200</v>
      </c>
    </row>
    <row r="230" spans="1:13">
      <c r="A230" s="99" t="s">
        <v>4405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2</v>
      </c>
      <c r="H230" s="99">
        <f t="shared" si="15"/>
        <v>1</v>
      </c>
      <c r="I230" s="99">
        <f t="shared" si="13"/>
        <v>9700000</v>
      </c>
      <c r="J230" s="99">
        <f t="shared" si="20"/>
        <v>0</v>
      </c>
      <c r="K230" s="99">
        <f t="shared" si="17"/>
        <v>9700000</v>
      </c>
    </row>
    <row r="231" spans="1:13">
      <c r="A231" s="99" t="s">
        <v>4405</v>
      </c>
      <c r="B231" s="18">
        <v>-3000900</v>
      </c>
      <c r="C231" s="18">
        <v>0</v>
      </c>
      <c r="D231" s="18">
        <f t="shared" si="18"/>
        <v>-3000900</v>
      </c>
      <c r="E231" s="99" t="s">
        <v>4414</v>
      </c>
      <c r="F231" s="99">
        <v>1</v>
      </c>
      <c r="G231" s="36">
        <f t="shared" si="21"/>
        <v>2</v>
      </c>
      <c r="H231" s="99">
        <f t="shared" si="15"/>
        <v>0</v>
      </c>
      <c r="I231" s="99">
        <f t="shared" si="13"/>
        <v>-6001800</v>
      </c>
      <c r="J231" s="99">
        <f t="shared" si="20"/>
        <v>0</v>
      </c>
      <c r="K231" s="99">
        <f t="shared" si="17"/>
        <v>-6001800</v>
      </c>
    </row>
    <row r="232" spans="1:13">
      <c r="A232" s="99" t="s">
        <v>4406</v>
      </c>
      <c r="B232" s="18">
        <v>-3000900</v>
      </c>
      <c r="C232" s="18">
        <v>0</v>
      </c>
      <c r="D232" s="18">
        <f t="shared" si="18"/>
        <v>-3000900</v>
      </c>
      <c r="E232" s="99" t="s">
        <v>4414</v>
      </c>
      <c r="F232" s="99">
        <v>0</v>
      </c>
      <c r="G232" s="36">
        <f t="shared" si="21"/>
        <v>1</v>
      </c>
      <c r="H232" s="99">
        <f t="shared" si="15"/>
        <v>0</v>
      </c>
      <c r="I232" s="99">
        <f t="shared" si="13"/>
        <v>-3000900</v>
      </c>
      <c r="J232" s="99">
        <f t="shared" si="20"/>
        <v>0</v>
      </c>
      <c r="K232" s="99">
        <f t="shared" si="17"/>
        <v>-3000900</v>
      </c>
    </row>
    <row r="233" spans="1:13">
      <c r="A233" s="99" t="s">
        <v>4406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1</v>
      </c>
      <c r="H233" s="99">
        <f t="shared" si="15"/>
        <v>0</v>
      </c>
      <c r="I233" s="99">
        <f t="shared" si="13"/>
        <v>-555000</v>
      </c>
      <c r="J233" s="99">
        <f t="shared" si="20"/>
        <v>0</v>
      </c>
      <c r="K233" s="99">
        <f t="shared" si="17"/>
        <v>-555000</v>
      </c>
    </row>
    <row r="234" spans="1:13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3201278</v>
      </c>
      <c r="C267" s="29">
        <f>SUM(C2:C256)</f>
        <v>7968789</v>
      </c>
      <c r="D267" s="29">
        <f>SUM(D2:D254)</f>
        <v>-4767511</v>
      </c>
      <c r="E267" s="11"/>
      <c r="F267" s="11"/>
      <c r="G267" s="11"/>
      <c r="H267" s="11"/>
      <c r="I267" s="29">
        <f>SUM(I2:I266)</f>
        <v>18792194121</v>
      </c>
      <c r="J267" s="29">
        <f>SUM(J2:J266)</f>
        <v>8424715392</v>
      </c>
      <c r="K267" s="29">
        <f>SUM(K2:K266)</f>
        <v>10367478729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19970450.713071201</v>
      </c>
      <c r="J270" s="29">
        <f>J267/G2</f>
        <v>8952938.780021254</v>
      </c>
      <c r="K270" s="29">
        <f>K267/G2</f>
        <v>11017511.933049947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-3570872</v>
      </c>
      <c r="G274" t="s">
        <v>25</v>
      </c>
      <c r="J274">
        <f>J267/I267*1448696</f>
        <v>649463.88968439237</v>
      </c>
      <c r="K274">
        <f>K267/I267*1448696</f>
        <v>799232.11031560763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30" sqref="N3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4416</v>
      </c>
      <c r="L21" s="33" t="s">
        <v>4418</v>
      </c>
      <c r="M21" s="96" t="s">
        <v>4417</v>
      </c>
      <c r="N21" s="199" t="s">
        <v>4419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4376</v>
      </c>
      <c r="L23">
        <v>9149046982</v>
      </c>
      <c r="M23" t="s">
        <v>4377</v>
      </c>
      <c r="N23" t="s">
        <v>4378</v>
      </c>
      <c r="O23" t="s">
        <v>4379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4380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4381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tabSelected="1" topLeftCell="K19" zoomScaleNormal="100" workbookViewId="0">
      <selection activeCell="P31" sqref="P3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39.140625" bestFit="1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6.28515625" bestFit="1" customWidth="1"/>
    <col min="42" max="42" width="15.7109375" bestFit="1" customWidth="1"/>
    <col min="43" max="43" width="9.7109375" bestFit="1" customWidth="1"/>
    <col min="44" max="44" width="36.42578125" style="96" bestFit="1" customWidth="1"/>
    <col min="45" max="45" width="34.85546875" style="96" bestFit="1" customWidth="1"/>
    <col min="46" max="46" width="14.140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5"/>
      <c r="V2" s="115"/>
      <c r="W2" s="116"/>
      <c r="X2" s="115"/>
      <c r="Y2" s="115"/>
    </row>
    <row r="3" spans="1:4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5"/>
      <c r="V3" s="115"/>
      <c r="W3" s="116"/>
      <c r="X3" s="115"/>
      <c r="Y3" s="115"/>
    </row>
    <row r="4" spans="1:4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  <c r="AO5" s="99" t="s">
        <v>1078</v>
      </c>
      <c r="AP5" s="99" t="s">
        <v>267</v>
      </c>
      <c r="AQ5" s="99" t="s">
        <v>180</v>
      </c>
      <c r="AR5" s="99"/>
    </row>
    <row r="6" spans="1:4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-L83*12</f>
        <v>-40599996</v>
      </c>
      <c r="O6" s="29">
        <v>-25000000</v>
      </c>
      <c r="P6" s="11" t="s">
        <v>933</v>
      </c>
      <c r="R6" s="115"/>
      <c r="S6" s="116"/>
      <c r="T6" s="116"/>
      <c r="U6" s="115"/>
      <c r="V6" s="115"/>
      <c r="W6" s="116"/>
      <c r="X6" s="115"/>
      <c r="Y6" s="115"/>
      <c r="AO6" s="99">
        <v>1</v>
      </c>
      <c r="AP6" s="170">
        <v>5000000</v>
      </c>
      <c r="AQ6" s="99" t="s">
        <v>4159</v>
      </c>
      <c r="AR6" s="99" t="s">
        <v>4190</v>
      </c>
    </row>
    <row r="7" spans="1:4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2</v>
      </c>
      <c r="AP7" s="170">
        <v>13000000</v>
      </c>
      <c r="AQ7" s="99" t="s">
        <v>4166</v>
      </c>
      <c r="AR7" s="99" t="s">
        <v>4191</v>
      </c>
    </row>
    <row r="8" spans="1:4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3</v>
      </c>
      <c r="AP8" s="170">
        <v>-168093</v>
      </c>
      <c r="AQ8" s="99" t="s">
        <v>4181</v>
      </c>
      <c r="AR8" s="99" t="s">
        <v>4192</v>
      </c>
    </row>
    <row r="9" spans="1:4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>
        <v>4</v>
      </c>
      <c r="AP9" s="170">
        <v>-2000000</v>
      </c>
      <c r="AQ9" s="99" t="s">
        <v>4398</v>
      </c>
      <c r="AR9" s="99" t="s">
        <v>4399</v>
      </c>
    </row>
    <row r="10" spans="1:4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/>
      <c r="AP10" s="170"/>
      <c r="AQ10" s="99"/>
      <c r="AR10" s="99"/>
    </row>
    <row r="11" spans="1:4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/>
      <c r="AP11" s="170"/>
      <c r="AQ11" s="99"/>
      <c r="AR11" s="99"/>
    </row>
    <row r="12" spans="1:4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5"/>
      <c r="V12" s="115"/>
      <c r="W12" s="116"/>
      <c r="X12" s="115"/>
      <c r="Y12" s="115"/>
      <c r="AO12" s="99"/>
      <c r="AP12" s="170"/>
      <c r="AQ12" s="99"/>
      <c r="AR12" s="99"/>
    </row>
    <row r="13" spans="1:4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/>
      <c r="AP13" s="170"/>
      <c r="AQ13" s="99"/>
      <c r="AR13" s="99"/>
    </row>
    <row r="14" spans="1:44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t="s">
        <v>1118</v>
      </c>
      <c r="U14" s="115"/>
      <c r="V14" s="115"/>
      <c r="W14" s="116"/>
      <c r="X14" s="115"/>
      <c r="Y14" s="115"/>
      <c r="AO14" s="99"/>
      <c r="AP14" s="170">
        <f>SUM(AP6:AP12)</f>
        <v>15831907</v>
      </c>
      <c r="AQ14" s="99"/>
      <c r="AR14" s="180" t="s">
        <v>4400</v>
      </c>
    </row>
    <row r="15" spans="1:4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4400000</v>
      </c>
      <c r="U15" s="115"/>
      <c r="V15" s="115"/>
      <c r="W15" s="116"/>
      <c r="X15" s="115"/>
      <c r="Y15" s="115"/>
      <c r="AO15" s="99"/>
      <c r="AP15" s="99" t="s">
        <v>6</v>
      </c>
      <c r="AQ15" s="99"/>
      <c r="AR15" s="99"/>
    </row>
    <row r="16" spans="1:4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5"/>
      <c r="V16" s="115"/>
      <c r="W16" s="116"/>
      <c r="X16" s="115"/>
      <c r="Y16" s="115"/>
      <c r="AO16" s="96"/>
      <c r="AP16" s="96"/>
      <c r="AQ16" s="96"/>
    </row>
    <row r="17" spans="1:52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-4767511</v>
      </c>
      <c r="P17" s="28"/>
      <c r="Q17" s="96"/>
      <c r="R17" s="96"/>
      <c r="S17" s="96"/>
      <c r="T17" s="96"/>
      <c r="U17" s="115"/>
      <c r="V17" s="115"/>
      <c r="W17" s="116"/>
      <c r="X17" s="115"/>
      <c r="Y17" s="115"/>
      <c r="AO17" s="96"/>
      <c r="AP17" s="96"/>
      <c r="AQ17" s="96"/>
    </row>
    <row r="18" spans="1:52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99" t="s">
        <v>4083</v>
      </c>
      <c r="N18" s="113">
        <v>35695</v>
      </c>
      <c r="Q18" s="99" t="s">
        <v>4333</v>
      </c>
      <c r="R18" s="99" t="s">
        <v>25</v>
      </c>
      <c r="S18" s="99"/>
      <c r="T18" s="95"/>
      <c r="U18" s="116"/>
      <c r="V18" s="116"/>
      <c r="W18" s="116"/>
      <c r="X18" s="115"/>
      <c r="Y18" s="115"/>
      <c r="AN18" s="96"/>
      <c r="AO18" s="96"/>
      <c r="AP18" s="96"/>
      <c r="AQ18" s="96"/>
      <c r="AT18" s="96"/>
      <c r="AU18" s="96"/>
      <c r="AV18" s="96"/>
      <c r="AW18" s="96"/>
      <c r="AX18" s="96"/>
      <c r="AY18" s="96"/>
      <c r="AZ18" s="96"/>
    </row>
    <row r="19" spans="1:52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-آبان97!D70</f>
        <v>57260063</v>
      </c>
      <c r="M19" s="169" t="s">
        <v>4344</v>
      </c>
      <c r="N19" s="113">
        <f t="shared" ref="N19:N24" si="4">O19*P19</f>
        <v>10191541.6</v>
      </c>
      <c r="O19" s="99">
        <v>48028</v>
      </c>
      <c r="P19" s="193">
        <f>P38</f>
        <v>212.2</v>
      </c>
      <c r="Q19" s="99" t="s">
        <v>267</v>
      </c>
      <c r="R19" s="99" t="s">
        <v>180</v>
      </c>
      <c r="S19" s="99" t="s">
        <v>183</v>
      </c>
      <c r="T19" s="99" t="s">
        <v>8</v>
      </c>
      <c r="U19" s="115"/>
      <c r="V19" s="115"/>
      <c r="W19" s="122"/>
      <c r="X19" s="116"/>
      <c r="Y19" s="115"/>
      <c r="AF19" s="99" t="s">
        <v>3644</v>
      </c>
      <c r="AG19" s="99" t="s">
        <v>180</v>
      </c>
      <c r="AH19" s="99" t="s">
        <v>267</v>
      </c>
      <c r="AI19" s="69" t="s">
        <v>4063</v>
      </c>
      <c r="AJ19" s="69" t="s">
        <v>4055</v>
      </c>
      <c r="AK19" s="69" t="s">
        <v>282</v>
      </c>
      <c r="AL19" s="99"/>
      <c r="AN19" s="96"/>
      <c r="AO19" s="96"/>
      <c r="AP19" s="96"/>
      <c r="AQ19" s="96"/>
      <c r="AT19" s="96"/>
      <c r="AU19" s="96"/>
      <c r="AV19" s="96"/>
      <c r="AW19" s="96"/>
      <c r="AX19" s="96"/>
      <c r="AY19" s="96"/>
      <c r="AZ19" s="96"/>
    </row>
    <row r="20" spans="1:52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4360</v>
      </c>
      <c r="N20" s="113">
        <f t="shared" si="4"/>
        <v>10402992</v>
      </c>
      <c r="O20" s="99">
        <v>33504</v>
      </c>
      <c r="P20" s="193">
        <f>P43</f>
        <v>310.5</v>
      </c>
      <c r="Q20" s="170">
        <v>9268987</v>
      </c>
      <c r="R20" s="99" t="s">
        <v>4181</v>
      </c>
      <c r="S20" s="99">
        <v>44</v>
      </c>
      <c r="T20" s="99" t="s">
        <v>4353</v>
      </c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1109</v>
      </c>
      <c r="AH20" s="113">
        <v>18000000</v>
      </c>
      <c r="AI20" s="99">
        <v>1</v>
      </c>
      <c r="AJ20" s="99">
        <f>AJ21+AI20</f>
        <v>215</v>
      </c>
      <c r="AK20" s="113">
        <f>AH20*AJ20</f>
        <v>3870000000</v>
      </c>
      <c r="AL20" s="99"/>
      <c r="AN20" s="96"/>
      <c r="AO20" s="96"/>
      <c r="AP20" s="96"/>
      <c r="AQ20" s="96"/>
      <c r="AT20" s="96"/>
      <c r="AU20" s="96"/>
      <c r="AV20" s="96"/>
      <c r="AW20" s="96"/>
      <c r="AX20" s="96"/>
      <c r="AY20" s="96"/>
      <c r="AZ20" s="96"/>
    </row>
    <row r="21" spans="1:52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L52</f>
        <v>297429265</v>
      </c>
      <c r="G21" s="29">
        <f t="shared" si="0"/>
        <v>-35429265</v>
      </c>
      <c r="H21" s="11" t="s">
        <v>4216</v>
      </c>
      <c r="J21" s="25"/>
      <c r="K21" s="169"/>
      <c r="L21" s="117"/>
      <c r="M21" s="169" t="s">
        <v>4352</v>
      </c>
      <c r="N21" s="113">
        <f t="shared" si="4"/>
        <v>3026479.1</v>
      </c>
      <c r="O21" s="99">
        <v>21179</v>
      </c>
      <c r="P21" s="193">
        <f>P45</f>
        <v>142.9</v>
      </c>
      <c r="Q21" s="170">
        <v>54501</v>
      </c>
      <c r="R21" s="99" t="s">
        <v>4289</v>
      </c>
      <c r="S21" s="99">
        <f>S20-24</f>
        <v>20</v>
      </c>
      <c r="T21" s="99" t="s">
        <v>4288</v>
      </c>
      <c r="U21" s="115"/>
      <c r="V21" s="115"/>
      <c r="W21" s="115"/>
      <c r="X21" s="115"/>
      <c r="Y21" s="115"/>
      <c r="AF21" s="99">
        <v>2</v>
      </c>
      <c r="AG21" s="113" t="s">
        <v>1111</v>
      </c>
      <c r="AH21" s="113">
        <v>2500000</v>
      </c>
      <c r="AI21" s="99">
        <v>1</v>
      </c>
      <c r="AJ21" s="99">
        <f t="shared" ref="AJ21:AJ63" si="5">AJ22+AI21</f>
        <v>214</v>
      </c>
      <c r="AK21" s="113">
        <f t="shared" ref="AK21:AK88" si="6">AH21*AJ21</f>
        <v>535000000</v>
      </c>
      <c r="AL21" s="99"/>
      <c r="AN21" s="96"/>
      <c r="AO21" s="96"/>
      <c r="AP21" s="96"/>
      <c r="AQ21" s="96"/>
      <c r="AT21" s="96"/>
      <c r="AU21" s="96"/>
      <c r="AV21" s="96"/>
      <c r="AW21" s="96"/>
      <c r="AX21" s="96"/>
      <c r="AY21" s="96"/>
      <c r="AZ21" s="96"/>
    </row>
    <row r="22" spans="1:52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69" t="s">
        <v>456</v>
      </c>
      <c r="L22" s="117">
        <v>331000</v>
      </c>
      <c r="M22" s="169" t="s">
        <v>4290</v>
      </c>
      <c r="N22" s="113">
        <f t="shared" si="4"/>
        <v>98828</v>
      </c>
      <c r="O22" s="99">
        <v>155</v>
      </c>
      <c r="P22" s="193">
        <f>P41</f>
        <v>637.6</v>
      </c>
      <c r="Q22" s="170">
        <v>4470930</v>
      </c>
      <c r="R22" s="99" t="s">
        <v>4331</v>
      </c>
      <c r="S22" s="99">
        <f>S21-6</f>
        <v>14</v>
      </c>
      <c r="T22" s="99" t="s">
        <v>4354</v>
      </c>
      <c r="U22" s="115"/>
      <c r="V22" s="115"/>
      <c r="W22" s="115"/>
      <c r="X22" s="115"/>
      <c r="Y22" s="115"/>
      <c r="AF22" s="99">
        <v>3</v>
      </c>
      <c r="AG22" s="113" t="s">
        <v>1121</v>
      </c>
      <c r="AH22" s="113">
        <v>8000000</v>
      </c>
      <c r="AI22" s="99">
        <v>1</v>
      </c>
      <c r="AJ22" s="99">
        <f t="shared" si="5"/>
        <v>213</v>
      </c>
      <c r="AK22" s="113">
        <f t="shared" si="6"/>
        <v>1704000000</v>
      </c>
      <c r="AL22" s="99"/>
      <c r="AN22" s="96"/>
      <c r="AO22" s="96"/>
      <c r="AP22" s="96"/>
      <c r="AQ22" s="96"/>
      <c r="AT22" s="96"/>
      <c r="AU22" s="96"/>
      <c r="AV22" s="96"/>
      <c r="AW22" s="96"/>
      <c r="AX22" s="96"/>
      <c r="AY22" s="96"/>
      <c r="AZ22" s="96"/>
    </row>
    <row r="23" spans="1:52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69"/>
      <c r="L23" s="117"/>
      <c r="M23" s="169" t="s">
        <v>4329</v>
      </c>
      <c r="N23" s="113">
        <f t="shared" si="4"/>
        <v>4572436.8</v>
      </c>
      <c r="O23" s="99">
        <v>23952</v>
      </c>
      <c r="P23" s="99">
        <f>P44</f>
        <v>190.9</v>
      </c>
      <c r="Q23" s="170">
        <v>1450345</v>
      </c>
      <c r="R23" s="99" t="s">
        <v>4348</v>
      </c>
      <c r="S23" s="99">
        <f>S22-5</f>
        <v>9</v>
      </c>
      <c r="T23" s="99" t="s">
        <v>4355</v>
      </c>
      <c r="U23" s="115"/>
      <c r="V23" s="169" t="s">
        <v>180</v>
      </c>
      <c r="W23" s="169" t="s">
        <v>4325</v>
      </c>
      <c r="X23" s="113" t="s">
        <v>4332</v>
      </c>
      <c r="Y23" s="113" t="s">
        <v>938</v>
      </c>
      <c r="Z23" s="56"/>
      <c r="AA23" s="56" t="s">
        <v>942</v>
      </c>
      <c r="AB23" s="56" t="s">
        <v>4334</v>
      </c>
      <c r="AC23" s="169" t="s">
        <v>8</v>
      </c>
      <c r="AF23" s="99">
        <v>4</v>
      </c>
      <c r="AG23" s="113" t="s">
        <v>4059</v>
      </c>
      <c r="AH23" s="113">
        <v>-79552</v>
      </c>
      <c r="AI23" s="99">
        <v>1</v>
      </c>
      <c r="AJ23" s="99">
        <f t="shared" si="5"/>
        <v>212</v>
      </c>
      <c r="AK23" s="113">
        <f t="shared" si="6"/>
        <v>-16865024</v>
      </c>
      <c r="AL23" s="99"/>
      <c r="AN23" s="96"/>
      <c r="AO23" s="96"/>
      <c r="AP23" s="96"/>
      <c r="AQ23" s="96"/>
      <c r="AT23" s="96"/>
      <c r="AU23" s="96"/>
      <c r="AV23" s="96"/>
      <c r="AW23" s="96"/>
      <c r="AX23" s="96"/>
      <c r="AY23" s="96"/>
      <c r="AZ23" s="96"/>
    </row>
    <row r="24" spans="1:52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4422</v>
      </c>
      <c r="N24" s="113">
        <f t="shared" si="4"/>
        <v>106250</v>
      </c>
      <c r="O24" s="69">
        <v>125</v>
      </c>
      <c r="P24" s="99">
        <f>P40</f>
        <v>850</v>
      </c>
      <c r="Q24" s="170">
        <v>400069</v>
      </c>
      <c r="R24" s="99" t="s">
        <v>4356</v>
      </c>
      <c r="S24" s="99">
        <f>S23-1</f>
        <v>8</v>
      </c>
      <c r="T24" s="99" t="s">
        <v>4357</v>
      </c>
      <c r="U24" s="115"/>
      <c r="V24" s="169" t="s">
        <v>4321</v>
      </c>
      <c r="W24" s="170">
        <v>42705000</v>
      </c>
      <c r="X24" s="169" t="s">
        <v>1087</v>
      </c>
      <c r="Y24" s="169">
        <v>7.63</v>
      </c>
      <c r="Z24" s="169"/>
      <c r="AA24" s="113">
        <f>P15</f>
        <v>4400000</v>
      </c>
      <c r="AB24" s="113">
        <f>Y24*AA24</f>
        <v>33572000</v>
      </c>
      <c r="AC24" s="169" t="s">
        <v>4413</v>
      </c>
      <c r="AD24" s="115"/>
      <c r="AF24" s="99">
        <v>5</v>
      </c>
      <c r="AG24" s="113" t="s">
        <v>1133</v>
      </c>
      <c r="AH24" s="113">
        <v>165500</v>
      </c>
      <c r="AI24" s="99">
        <v>12</v>
      </c>
      <c r="AJ24" s="99">
        <f t="shared" si="5"/>
        <v>211</v>
      </c>
      <c r="AK24" s="113">
        <f t="shared" si="6"/>
        <v>34920500</v>
      </c>
      <c r="AL24" s="99"/>
      <c r="AN24" s="96"/>
      <c r="AO24" s="96"/>
      <c r="AP24" s="96"/>
      <c r="AQ24" s="96"/>
      <c r="AT24" s="96"/>
      <c r="AU24" s="96"/>
      <c r="AV24" s="96"/>
      <c r="AW24" s="96"/>
      <c r="AX24" s="96"/>
      <c r="AY24" s="96"/>
      <c r="AZ24" s="96"/>
    </row>
    <row r="25" spans="1:52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4397</v>
      </c>
      <c r="N25" s="113">
        <v>-4084064</v>
      </c>
      <c r="O25" s="115"/>
      <c r="P25" s="115" t="s">
        <v>25</v>
      </c>
      <c r="Q25" s="170">
        <v>8690518</v>
      </c>
      <c r="R25" s="99" t="s">
        <v>4356</v>
      </c>
      <c r="S25" s="99">
        <f>S24</f>
        <v>8</v>
      </c>
      <c r="T25" s="99" t="s">
        <v>4358</v>
      </c>
      <c r="U25" s="115"/>
      <c r="V25" s="56" t="s">
        <v>4331</v>
      </c>
      <c r="W25" s="170">
        <v>-4470930</v>
      </c>
      <c r="X25" s="56" t="s">
        <v>4329</v>
      </c>
      <c r="Y25" s="169">
        <v>-23952</v>
      </c>
      <c r="Z25" s="169" t="s">
        <v>4333</v>
      </c>
      <c r="AA25" s="169">
        <f>P44</f>
        <v>190.9</v>
      </c>
      <c r="AB25" s="113">
        <f t="shared" ref="AB25:AB28" si="7">Y25*AA25</f>
        <v>-4572436.8</v>
      </c>
      <c r="AC25" s="169"/>
      <c r="AD25" s="115"/>
      <c r="AF25" s="99">
        <v>6</v>
      </c>
      <c r="AG25" s="113" t="s">
        <v>1159</v>
      </c>
      <c r="AH25" s="113">
        <v>-28830327</v>
      </c>
      <c r="AI25" s="99">
        <v>6</v>
      </c>
      <c r="AJ25" s="99">
        <f t="shared" si="5"/>
        <v>199</v>
      </c>
      <c r="AK25" s="113">
        <f t="shared" si="6"/>
        <v>-5737235073</v>
      </c>
      <c r="AL25" s="99"/>
      <c r="AN25" s="96"/>
      <c r="AO25" s="96"/>
      <c r="AP25" s="96"/>
      <c r="AQ25" s="96"/>
      <c r="AT25" s="96"/>
      <c r="AU25" s="96"/>
      <c r="AV25" s="96"/>
      <c r="AW25" s="96"/>
      <c r="AX25" s="96"/>
      <c r="AY25" s="96"/>
      <c r="AZ25" s="96"/>
    </row>
    <row r="26" spans="1:52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 t="s">
        <v>25</v>
      </c>
      <c r="L26" s="117"/>
      <c r="M26" s="169" t="s">
        <v>756</v>
      </c>
      <c r="N26" s="113">
        <v>3000000</v>
      </c>
      <c r="O26" s="22"/>
      <c r="Q26" s="170">
        <v>3000094</v>
      </c>
      <c r="R26" s="99" t="s">
        <v>4356</v>
      </c>
      <c r="S26" s="99">
        <f>S25</f>
        <v>8</v>
      </c>
      <c r="T26" s="99" t="s">
        <v>4359</v>
      </c>
      <c r="U26" s="115"/>
      <c r="V26" s="113" t="s">
        <v>4331</v>
      </c>
      <c r="W26" s="170">
        <v>-11344820</v>
      </c>
      <c r="X26" s="56" t="s">
        <v>4335</v>
      </c>
      <c r="Y26" s="56">
        <v>-80808</v>
      </c>
      <c r="Z26" s="56" t="s">
        <v>4338</v>
      </c>
      <c r="AA26" s="169">
        <f>P45</f>
        <v>142.9</v>
      </c>
      <c r="AB26" s="113">
        <f>Y26*AA26</f>
        <v>-11547463.200000001</v>
      </c>
      <c r="AC26" s="169"/>
      <c r="AD26" s="115"/>
      <c r="AF26" s="99">
        <v>7</v>
      </c>
      <c r="AG26" s="113" t="s">
        <v>1184</v>
      </c>
      <c r="AH26" s="113">
        <v>18500000</v>
      </c>
      <c r="AI26" s="99">
        <v>1</v>
      </c>
      <c r="AJ26" s="99">
        <f t="shared" si="5"/>
        <v>193</v>
      </c>
      <c r="AK26" s="113">
        <f t="shared" si="6"/>
        <v>3570500000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 t="s">
        <v>918</v>
      </c>
      <c r="L27" s="117">
        <v>4800000</v>
      </c>
      <c r="M27" s="169" t="s">
        <v>4158</v>
      </c>
      <c r="N27" s="113">
        <f>-1*L19</f>
        <v>-57260063</v>
      </c>
      <c r="P27" t="s">
        <v>25</v>
      </c>
      <c r="Q27" s="170">
        <v>106732</v>
      </c>
      <c r="R27" s="99" t="s">
        <v>4406</v>
      </c>
      <c r="S27" s="99">
        <f>S26-8</f>
        <v>0</v>
      </c>
      <c r="T27" s="99" t="s">
        <v>4423</v>
      </c>
      <c r="U27" s="115"/>
      <c r="V27" s="113" t="s">
        <v>4331</v>
      </c>
      <c r="W27" s="170">
        <v>-18242759</v>
      </c>
      <c r="X27" s="56" t="s">
        <v>4329</v>
      </c>
      <c r="Y27" s="56">
        <v>-45196</v>
      </c>
      <c r="Z27" s="56" t="s">
        <v>4338</v>
      </c>
      <c r="AA27" s="169">
        <f>P44</f>
        <v>190.9</v>
      </c>
      <c r="AB27" s="113">
        <f>Y27*AA27</f>
        <v>-8627916.4000000004</v>
      </c>
      <c r="AC27" s="169"/>
      <c r="AD27" s="115"/>
      <c r="AF27" s="99">
        <v>8</v>
      </c>
      <c r="AG27" s="113" t="s">
        <v>1193</v>
      </c>
      <c r="AH27" s="113">
        <v>-18550000</v>
      </c>
      <c r="AI27" s="99">
        <v>1</v>
      </c>
      <c r="AJ27" s="99">
        <f t="shared" si="5"/>
        <v>192</v>
      </c>
      <c r="AK27" s="113">
        <f t="shared" si="6"/>
        <v>-3561600000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929</v>
      </c>
      <c r="L28" s="117">
        <v>0</v>
      </c>
      <c r="M28" s="169" t="s">
        <v>753</v>
      </c>
      <c r="N28" s="113">
        <v>500000</v>
      </c>
      <c r="O28" t="s">
        <v>25</v>
      </c>
      <c r="P28" t="s">
        <v>25</v>
      </c>
      <c r="Q28" s="170"/>
      <c r="R28" s="99"/>
      <c r="S28" s="99"/>
      <c r="T28" s="99"/>
      <c r="U28" s="115"/>
      <c r="V28" s="113" t="s">
        <v>4356</v>
      </c>
      <c r="W28" s="170">
        <v>-8690518</v>
      </c>
      <c r="X28" s="169" t="s">
        <v>4339</v>
      </c>
      <c r="Y28" s="169">
        <v>-27637</v>
      </c>
      <c r="Z28" s="169" t="s">
        <v>4333</v>
      </c>
      <c r="AA28" s="169">
        <f>P43</f>
        <v>310.5</v>
      </c>
      <c r="AB28" s="113">
        <f t="shared" si="7"/>
        <v>-8581288.5</v>
      </c>
      <c r="AC28" s="169"/>
      <c r="AD28" s="115"/>
      <c r="AF28" s="99">
        <v>9</v>
      </c>
      <c r="AG28" s="113" t="s">
        <v>1200</v>
      </c>
      <c r="AH28" s="113">
        <v>-64961</v>
      </c>
      <c r="AI28" s="99">
        <v>5</v>
      </c>
      <c r="AJ28" s="99">
        <f t="shared" si="5"/>
        <v>191</v>
      </c>
      <c r="AK28" s="113">
        <f t="shared" si="6"/>
        <v>-12407551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1087</v>
      </c>
      <c r="L29" s="117">
        <f>65*P15</f>
        <v>286000000</v>
      </c>
      <c r="M29" s="169" t="s">
        <v>760</v>
      </c>
      <c r="N29" s="113">
        <v>1200000</v>
      </c>
      <c r="O29" t="s">
        <v>25</v>
      </c>
      <c r="P29" t="s">
        <v>25</v>
      </c>
      <c r="Q29" s="170">
        <f>SUM(N19:N24)-SUM(Q20:Q28)</f>
        <v>956351.50000000373</v>
      </c>
      <c r="R29" s="99"/>
      <c r="S29" s="99" t="s">
        <v>25</v>
      </c>
      <c r="T29" s="99"/>
      <c r="U29" s="115"/>
      <c r="V29" s="113"/>
      <c r="W29" s="56"/>
      <c r="X29" s="169"/>
      <c r="Y29" s="169"/>
      <c r="Z29" s="169"/>
      <c r="AA29" s="169"/>
      <c r="AB29" s="113"/>
      <c r="AC29" s="169"/>
      <c r="AD29" s="115"/>
      <c r="AF29" s="99">
        <v>10</v>
      </c>
      <c r="AG29" s="113" t="s">
        <v>1216</v>
      </c>
      <c r="AH29" s="113">
        <v>6400000</v>
      </c>
      <c r="AI29" s="99">
        <v>1</v>
      </c>
      <c r="AJ29" s="99">
        <f t="shared" si="5"/>
        <v>186</v>
      </c>
      <c r="AK29" s="113">
        <f t="shared" si="6"/>
        <v>1190400000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4156</v>
      </c>
      <c r="L30" s="117">
        <v>-50000000</v>
      </c>
      <c r="M30" s="73" t="s">
        <v>4323</v>
      </c>
      <c r="N30" s="113">
        <v>448308</v>
      </c>
      <c r="O30" s="22"/>
      <c r="P30" t="s">
        <v>25</v>
      </c>
      <c r="R30" s="115"/>
      <c r="S30" s="115"/>
      <c r="T30" s="115"/>
      <c r="U30" s="115"/>
      <c r="V30" s="26"/>
      <c r="W30" s="186"/>
      <c r="X30" s="186"/>
      <c r="Y30" s="186"/>
      <c r="Z30" s="186"/>
      <c r="AA30" s="186"/>
      <c r="AB30" s="186"/>
      <c r="AC30" s="186"/>
      <c r="AD30" s="115"/>
      <c r="AF30" s="99">
        <v>11</v>
      </c>
      <c r="AG30" s="113" t="s">
        <v>4060</v>
      </c>
      <c r="AH30" s="113">
        <v>-170000</v>
      </c>
      <c r="AI30" s="99">
        <v>5</v>
      </c>
      <c r="AJ30" s="99">
        <f t="shared" si="5"/>
        <v>185</v>
      </c>
      <c r="AK30" s="113">
        <f t="shared" si="6"/>
        <v>-31450000</v>
      </c>
      <c r="AL30" s="99"/>
      <c r="AN30" s="96"/>
      <c r="AO30" s="99" t="s">
        <v>1135</v>
      </c>
      <c r="AP30" s="99" t="s">
        <v>4252</v>
      </c>
      <c r="AQ30" s="99" t="s">
        <v>938</v>
      </c>
      <c r="AR30" s="99" t="s">
        <v>180</v>
      </c>
      <c r="AS30" s="69" t="s">
        <v>8</v>
      </c>
      <c r="AT30" s="69" t="s">
        <v>267</v>
      </c>
      <c r="AU30" s="96"/>
      <c r="AV30" s="96"/>
      <c r="AW30" s="96"/>
      <c r="AX30" s="96"/>
      <c r="AY30" s="96"/>
      <c r="AZ30" s="96"/>
    </row>
    <row r="31" spans="1:52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4373</v>
      </c>
      <c r="L31" s="117">
        <v>-2985000</v>
      </c>
      <c r="M31" s="169" t="s">
        <v>1087</v>
      </c>
      <c r="N31" s="113">
        <f>65*P15</f>
        <v>286000000</v>
      </c>
      <c r="P31" t="s">
        <v>25</v>
      </c>
      <c r="R31" s="115"/>
      <c r="S31" s="115"/>
      <c r="T31" s="115"/>
      <c r="U31" s="115"/>
      <c r="V31" s="26"/>
      <c r="W31" s="186"/>
      <c r="X31" s="186"/>
      <c r="Y31" s="186"/>
      <c r="Z31" s="186"/>
      <c r="AA31" s="186"/>
      <c r="AB31" s="42">
        <f>SUM(AB24:AB29)</f>
        <v>242895.09999999963</v>
      </c>
      <c r="AC31" s="186"/>
      <c r="AD31" s="115"/>
      <c r="AF31" s="99">
        <v>12</v>
      </c>
      <c r="AG31" s="113" t="s">
        <v>1236</v>
      </c>
      <c r="AH31" s="113">
        <v>-6300000</v>
      </c>
      <c r="AI31" s="99">
        <v>1</v>
      </c>
      <c r="AJ31" s="99">
        <f>AJ32+AI31</f>
        <v>180</v>
      </c>
      <c r="AK31" s="113">
        <f t="shared" si="6"/>
        <v>-1134000000</v>
      </c>
      <c r="AL31" s="99"/>
      <c r="AN31" s="96"/>
      <c r="AO31" s="99">
        <v>1</v>
      </c>
      <c r="AP31" s="170" t="s">
        <v>4253</v>
      </c>
      <c r="AQ31" s="99">
        <v>18290</v>
      </c>
      <c r="AR31" s="99" t="s">
        <v>4181</v>
      </c>
      <c r="AS31" s="99" t="s">
        <v>4254</v>
      </c>
      <c r="AT31" s="170">
        <v>3465500</v>
      </c>
      <c r="AU31" s="96"/>
      <c r="AV31" s="96"/>
      <c r="AW31" s="96"/>
      <c r="AX31" s="96"/>
      <c r="AY31" s="96"/>
      <c r="AZ31" s="96"/>
    </row>
    <row r="32" spans="1:52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4387</v>
      </c>
      <c r="L32" s="117">
        <v>1000000</v>
      </c>
      <c r="M32" s="169" t="s">
        <v>4364</v>
      </c>
      <c r="N32" s="113">
        <v>-20000000</v>
      </c>
      <c r="Q32" t="s">
        <v>25</v>
      </c>
      <c r="S32" s="26" t="s">
        <v>25</v>
      </c>
      <c r="T32" t="s">
        <v>25</v>
      </c>
      <c r="U32" s="115"/>
      <c r="V32" s="41"/>
      <c r="W32" s="186"/>
      <c r="X32" s="186"/>
      <c r="Y32" s="186"/>
      <c r="Z32" s="186"/>
      <c r="AA32" s="186"/>
      <c r="AB32" s="186" t="s">
        <v>945</v>
      </c>
      <c r="AC32" s="186"/>
      <c r="AD32" s="115"/>
      <c r="AF32" s="99">
        <v>13</v>
      </c>
      <c r="AG32" s="113" t="s">
        <v>1245</v>
      </c>
      <c r="AH32" s="113">
        <v>-52015</v>
      </c>
      <c r="AI32" s="99">
        <v>16</v>
      </c>
      <c r="AJ32" s="99">
        <f t="shared" si="5"/>
        <v>179</v>
      </c>
      <c r="AK32" s="113">
        <f t="shared" si="6"/>
        <v>-9310685</v>
      </c>
      <c r="AL32" s="99"/>
      <c r="AN32" s="96"/>
      <c r="AO32" s="99">
        <v>2</v>
      </c>
      <c r="AP32" s="170" t="s">
        <v>4253</v>
      </c>
      <c r="AQ32" s="99">
        <v>24813</v>
      </c>
      <c r="AR32" s="99" t="s">
        <v>4250</v>
      </c>
      <c r="AS32" s="99" t="s">
        <v>4255</v>
      </c>
      <c r="AT32" s="170">
        <v>4995629</v>
      </c>
      <c r="AU32" s="96"/>
      <c r="AV32" s="96"/>
      <c r="AW32" s="96"/>
      <c r="AX32" s="96"/>
      <c r="AY32" s="96"/>
      <c r="AZ32" s="96"/>
    </row>
    <row r="33" spans="1:5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/>
      <c r="L33" s="117"/>
      <c r="M33" s="169" t="s">
        <v>4396</v>
      </c>
      <c r="N33" s="113">
        <v>-50000000</v>
      </c>
      <c r="O33" s="96"/>
      <c r="P33" s="96"/>
      <c r="W33" s="115"/>
      <c r="X33" s="115"/>
      <c r="Y33" s="115"/>
      <c r="Z33" s="115"/>
      <c r="AA33" s="115"/>
      <c r="AB33" s="115"/>
      <c r="AC33" s="115"/>
      <c r="AD33" s="115"/>
      <c r="AF33" s="99">
        <v>14</v>
      </c>
      <c r="AG33" s="113" t="s">
        <v>3711</v>
      </c>
      <c r="AH33" s="113">
        <v>20017400</v>
      </c>
      <c r="AI33" s="99">
        <v>0</v>
      </c>
      <c r="AJ33" s="99">
        <f t="shared" si="5"/>
        <v>163</v>
      </c>
      <c r="AK33" s="113">
        <f t="shared" si="6"/>
        <v>3262836200</v>
      </c>
      <c r="AL33" s="99"/>
      <c r="AN33" s="96"/>
      <c r="AO33" s="99">
        <v>3</v>
      </c>
      <c r="AP33" s="170" t="s">
        <v>4253</v>
      </c>
      <c r="AQ33" s="99">
        <v>26189</v>
      </c>
      <c r="AR33" s="99" t="s">
        <v>4271</v>
      </c>
      <c r="AS33" s="99" t="s">
        <v>4272</v>
      </c>
      <c r="AT33" s="170">
        <v>5006890</v>
      </c>
      <c r="AU33" s="96"/>
      <c r="AV33" s="96"/>
      <c r="AW33" s="96"/>
      <c r="AX33" s="96"/>
      <c r="AY33" s="96"/>
      <c r="AZ33" s="96"/>
    </row>
    <row r="34" spans="1:52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99"/>
      <c r="L34" s="99"/>
      <c r="M34" s="169" t="s">
        <v>4387</v>
      </c>
      <c r="N34" s="113">
        <v>1000000</v>
      </c>
      <c r="O34" s="96"/>
      <c r="P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3711</v>
      </c>
      <c r="AH34" s="113">
        <v>1014466</v>
      </c>
      <c r="AI34" s="99">
        <v>12</v>
      </c>
      <c r="AJ34" s="99">
        <f t="shared" si="5"/>
        <v>163</v>
      </c>
      <c r="AK34" s="113">
        <f t="shared" si="6"/>
        <v>165357958</v>
      </c>
      <c r="AL34" s="99"/>
      <c r="AN34" s="96"/>
      <c r="AO34" s="183"/>
      <c r="AP34" s="184" t="s">
        <v>4256</v>
      </c>
      <c r="AQ34" s="183"/>
      <c r="AR34" s="183"/>
      <c r="AS34" s="183"/>
      <c r="AT34" s="184"/>
      <c r="AU34" s="96"/>
      <c r="AV34" s="96"/>
      <c r="AW34" s="96"/>
      <c r="AX34" s="96"/>
      <c r="AY34" s="96"/>
      <c r="AZ34" s="96"/>
    </row>
    <row r="35" spans="1:5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8">E34*$L$2+C35-D35</f>
        <v>358188786.24271059</v>
      </c>
      <c r="F35" s="3"/>
      <c r="G35" s="11"/>
      <c r="H35" s="11"/>
      <c r="K35" s="99"/>
      <c r="L35" s="99"/>
      <c r="M35" s="169" t="s">
        <v>3892</v>
      </c>
      <c r="N35" s="113">
        <v>456081</v>
      </c>
      <c r="O35" s="99" t="s">
        <v>938</v>
      </c>
      <c r="P35" s="99" t="s">
        <v>3933</v>
      </c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1147</v>
      </c>
      <c r="AH35" s="113">
        <v>360000</v>
      </c>
      <c r="AI35" s="99">
        <v>2</v>
      </c>
      <c r="AJ35" s="99">
        <f t="shared" si="5"/>
        <v>151</v>
      </c>
      <c r="AK35" s="113">
        <f t="shared" si="6"/>
        <v>54360000</v>
      </c>
      <c r="AL35" s="99"/>
      <c r="AN35" s="96"/>
      <c r="AO35" s="183"/>
      <c r="AP35" s="184" t="s">
        <v>4253</v>
      </c>
      <c r="AQ35" s="183">
        <v>19666</v>
      </c>
      <c r="AR35" s="183" t="s">
        <v>4271</v>
      </c>
      <c r="AS35" s="183" t="s">
        <v>4273</v>
      </c>
      <c r="AT35" s="184"/>
      <c r="AU35" s="96"/>
      <c r="AV35" s="96"/>
      <c r="AW35" s="96"/>
      <c r="AX35" s="96"/>
      <c r="AY35" s="96"/>
      <c r="AZ35" s="96"/>
    </row>
    <row r="36" spans="1:52">
      <c r="A36" s="61">
        <v>98</v>
      </c>
      <c r="B36" s="11">
        <v>34</v>
      </c>
      <c r="C36" s="3">
        <f t="shared" ref="C36:C62" si="9">C35*$K$2</f>
        <v>4498230.5822681794</v>
      </c>
      <c r="D36" s="3">
        <f t="shared" ref="D36:D62" si="10">D35*$K$2</f>
        <v>3654042.1031301799</v>
      </c>
      <c r="E36" s="3">
        <f t="shared" si="8"/>
        <v>366196750.44670284</v>
      </c>
      <c r="F36" s="3"/>
      <c r="G36" s="11"/>
      <c r="H36" s="11"/>
      <c r="K36" s="56"/>
      <c r="L36" s="117"/>
      <c r="M36" s="169"/>
      <c r="N36" s="113"/>
      <c r="O36" s="99"/>
      <c r="P36" s="99"/>
      <c r="Q36" s="73" t="s">
        <v>4338</v>
      </c>
      <c r="R36" s="112"/>
      <c r="S36" s="112"/>
      <c r="T36" s="112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3771</v>
      </c>
      <c r="AH36" s="113">
        <v>-350000</v>
      </c>
      <c r="AI36" s="99">
        <v>0</v>
      </c>
      <c r="AJ36" s="99">
        <f t="shared" si="5"/>
        <v>149</v>
      </c>
      <c r="AK36" s="113">
        <f t="shared" si="6"/>
        <v>-52150000</v>
      </c>
      <c r="AL36" s="99"/>
      <c r="AN36" s="96"/>
      <c r="AO36" s="183"/>
      <c r="AP36" s="184"/>
      <c r="AQ36" s="183"/>
      <c r="AR36" s="183"/>
      <c r="AS36" s="183"/>
      <c r="AT36" s="184"/>
      <c r="AU36" s="96"/>
      <c r="AV36" s="96"/>
      <c r="AW36" s="96"/>
      <c r="AX36" s="96"/>
      <c r="AY36" s="96"/>
      <c r="AZ36" s="96"/>
    </row>
    <row r="37" spans="1:52">
      <c r="A37" s="61">
        <v>98</v>
      </c>
      <c r="B37" s="11">
        <v>35</v>
      </c>
      <c r="C37" s="3">
        <f t="shared" si="9"/>
        <v>4543212.888090861</v>
      </c>
      <c r="D37" s="3">
        <f t="shared" si="10"/>
        <v>3690582.5241614818</v>
      </c>
      <c r="E37" s="3">
        <f t="shared" si="8"/>
        <v>374373315.81956631</v>
      </c>
      <c r="F37" s="3"/>
      <c r="G37" s="11"/>
      <c r="H37" s="11"/>
      <c r="K37" s="56"/>
      <c r="L37" s="117"/>
      <c r="M37" s="32"/>
      <c r="N37" s="113"/>
      <c r="O37" s="99"/>
      <c r="P37" s="99"/>
      <c r="Q37" s="112" t="s">
        <v>267</v>
      </c>
      <c r="R37" s="112" t="s">
        <v>180</v>
      </c>
      <c r="S37" s="112" t="s">
        <v>183</v>
      </c>
      <c r="T37" s="112" t="s">
        <v>8</v>
      </c>
      <c r="V37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3771</v>
      </c>
      <c r="AH37" s="113">
        <v>1000</v>
      </c>
      <c r="AI37" s="99">
        <v>1</v>
      </c>
      <c r="AJ37" s="99">
        <f t="shared" si="5"/>
        <v>149</v>
      </c>
      <c r="AK37" s="113">
        <f t="shared" si="6"/>
        <v>149000</v>
      </c>
      <c r="AL37" s="99"/>
      <c r="AN37" s="96"/>
      <c r="AO37" s="99"/>
      <c r="AP37" s="170"/>
      <c r="AQ37" s="99"/>
      <c r="AR37" s="99"/>
      <c r="AS37" s="99"/>
      <c r="AT37" s="170"/>
      <c r="AU37" s="96"/>
      <c r="AV37" s="96"/>
      <c r="AW37" s="96"/>
      <c r="AX37" s="96"/>
      <c r="AY37" s="96"/>
      <c r="AZ37" s="96"/>
    </row>
    <row r="38" spans="1:52" ht="18.75">
      <c r="A38" s="61">
        <v>98</v>
      </c>
      <c r="B38" s="11">
        <v>36</v>
      </c>
      <c r="C38" s="3">
        <f t="shared" si="9"/>
        <v>4588645.0169717697</v>
      </c>
      <c r="D38" s="3">
        <f t="shared" si="10"/>
        <v>3727488.3494030968</v>
      </c>
      <c r="E38" s="46">
        <f t="shared" si="8"/>
        <v>382721938.80352634</v>
      </c>
      <c r="F38" s="3"/>
      <c r="G38" s="11"/>
      <c r="H38" s="11"/>
      <c r="K38" s="56"/>
      <c r="L38" s="117"/>
      <c r="M38" s="169" t="s">
        <v>4188</v>
      </c>
      <c r="N38" s="113">
        <f t="shared" ref="N38:N45" si="11">O38*P38</f>
        <v>215488039</v>
      </c>
      <c r="O38" s="99">
        <v>1015495</v>
      </c>
      <c r="P38" s="99">
        <v>212.2</v>
      </c>
      <c r="Q38" s="170">
        <v>184971545</v>
      </c>
      <c r="R38" s="169" t="s">
        <v>4181</v>
      </c>
      <c r="S38" s="169">
        <v>45</v>
      </c>
      <c r="T38" s="169" t="s">
        <v>4403</v>
      </c>
      <c r="V38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3775</v>
      </c>
      <c r="AH38" s="113">
        <v>33610000</v>
      </c>
      <c r="AI38" s="99">
        <v>4</v>
      </c>
      <c r="AJ38" s="99">
        <f t="shared" si="5"/>
        <v>148</v>
      </c>
      <c r="AK38" s="113">
        <f t="shared" si="6"/>
        <v>4974280000</v>
      </c>
      <c r="AL38" s="99"/>
      <c r="AN38" s="96"/>
      <c r="AO38" s="99"/>
      <c r="AP38" s="170"/>
      <c r="AQ38" s="99"/>
      <c r="AR38" s="180"/>
      <c r="AS38" s="99"/>
      <c r="AT38" s="170"/>
      <c r="AU38" s="96"/>
      <c r="AV38" s="96"/>
      <c r="AW38" s="96"/>
      <c r="AX38" s="96"/>
      <c r="AY38" s="96"/>
      <c r="AZ38" s="96"/>
    </row>
    <row r="39" spans="1:52">
      <c r="A39" s="62">
        <v>99</v>
      </c>
      <c r="B39" s="11">
        <v>37</v>
      </c>
      <c r="C39" s="44">
        <f t="shared" si="9"/>
        <v>4634531.4671414876</v>
      </c>
      <c r="D39" s="3">
        <f t="shared" si="10"/>
        <v>3764763.232897128</v>
      </c>
      <c r="E39" s="3">
        <f t="shared" si="8"/>
        <v>391246145.81384128</v>
      </c>
      <c r="F39" s="3"/>
      <c r="G39" s="11"/>
      <c r="H39" s="11"/>
      <c r="K39" s="56"/>
      <c r="L39" s="117"/>
      <c r="M39" s="99" t="s">
        <v>4270</v>
      </c>
      <c r="N39" s="113">
        <f t="shared" si="11"/>
        <v>4173125.1999999997</v>
      </c>
      <c r="O39" s="99">
        <v>19666</v>
      </c>
      <c r="P39" s="99">
        <f>P38</f>
        <v>212.2</v>
      </c>
      <c r="Q39" s="170">
        <v>3759803</v>
      </c>
      <c r="R39" s="169" t="s">
        <v>4271</v>
      </c>
      <c r="S39" s="169">
        <f>S38-21</f>
        <v>24</v>
      </c>
      <c r="T39" s="169" t="s">
        <v>4280</v>
      </c>
      <c r="V39" t="s">
        <v>25</v>
      </c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4061</v>
      </c>
      <c r="AH39" s="113">
        <v>-15600000</v>
      </c>
      <c r="AI39" s="99">
        <v>3</v>
      </c>
      <c r="AJ39" s="99">
        <f t="shared" si="5"/>
        <v>144</v>
      </c>
      <c r="AK39" s="113">
        <f t="shared" si="6"/>
        <v>-2246400000</v>
      </c>
      <c r="AL39" s="99"/>
      <c r="AN39" s="96"/>
      <c r="AO39" s="99"/>
      <c r="AP39" s="99"/>
      <c r="AQ39" s="99"/>
      <c r="AR39" s="99"/>
      <c r="AS39" s="99"/>
      <c r="AT39" s="170"/>
      <c r="AU39" s="96"/>
      <c r="AV39" s="96"/>
      <c r="AW39" s="96"/>
      <c r="AX39" s="96"/>
      <c r="AY39" s="96"/>
      <c r="AZ39" s="96"/>
    </row>
    <row r="40" spans="1:52">
      <c r="A40" s="62">
        <v>99</v>
      </c>
      <c r="B40" s="11">
        <v>38</v>
      </c>
      <c r="C40" s="44">
        <f t="shared" si="9"/>
        <v>4680876.7818129025</v>
      </c>
      <c r="D40" s="3">
        <f t="shared" si="10"/>
        <v>3802410.8652260993</v>
      </c>
      <c r="E40" s="3">
        <f t="shared" si="8"/>
        <v>399949534.64670491</v>
      </c>
      <c r="F40" s="3"/>
      <c r="G40" s="11"/>
      <c r="H40" s="11"/>
      <c r="K40" s="56"/>
      <c r="L40" s="117"/>
      <c r="M40" s="99" t="s">
        <v>4422</v>
      </c>
      <c r="N40" s="113">
        <f t="shared" si="11"/>
        <v>107100</v>
      </c>
      <c r="O40" s="99">
        <v>126</v>
      </c>
      <c r="P40" s="99">
        <v>850</v>
      </c>
      <c r="Q40" s="170">
        <v>54501</v>
      </c>
      <c r="R40" s="169" t="s">
        <v>4289</v>
      </c>
      <c r="S40" s="169">
        <f>S39-4</f>
        <v>20</v>
      </c>
      <c r="T40" s="169" t="s">
        <v>4288</v>
      </c>
      <c r="U40" s="96"/>
      <c r="W40" s="115"/>
      <c r="X40" s="115"/>
      <c r="Y40" s="115"/>
      <c r="Z40" s="115"/>
      <c r="AA40" s="115" t="s">
        <v>25</v>
      </c>
      <c r="AB40" s="115"/>
      <c r="AC40" s="115"/>
      <c r="AD40" s="115"/>
      <c r="AF40" s="99">
        <v>21</v>
      </c>
      <c r="AG40" s="113" t="s">
        <v>3789</v>
      </c>
      <c r="AH40" s="113">
        <v>7500000</v>
      </c>
      <c r="AI40" s="99">
        <v>4</v>
      </c>
      <c r="AJ40" s="99">
        <f t="shared" si="5"/>
        <v>141</v>
      </c>
      <c r="AK40" s="113">
        <f t="shared" si="6"/>
        <v>1057500000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>
      <c r="A41" s="62">
        <v>99</v>
      </c>
      <c r="B41" s="11">
        <v>39</v>
      </c>
      <c r="C41" s="44">
        <f t="shared" si="9"/>
        <v>4727685.5496310312</v>
      </c>
      <c r="D41" s="3">
        <f t="shared" si="10"/>
        <v>3840434.9738783604</v>
      </c>
      <c r="E41" s="3">
        <f t="shared" si="8"/>
        <v>408835775.91539168</v>
      </c>
      <c r="F41" s="3"/>
      <c r="G41" s="11"/>
      <c r="H41" s="11"/>
      <c r="K41" s="56"/>
      <c r="L41" s="117"/>
      <c r="M41" s="99" t="s">
        <v>4290</v>
      </c>
      <c r="N41" s="113">
        <f t="shared" si="11"/>
        <v>98828</v>
      </c>
      <c r="O41" s="185">
        <v>155</v>
      </c>
      <c r="P41" s="99">
        <v>637.6</v>
      </c>
      <c r="Q41" s="170">
        <v>11344820</v>
      </c>
      <c r="R41" s="169" t="s">
        <v>4331</v>
      </c>
      <c r="S41" s="169">
        <f>S40-6</f>
        <v>14</v>
      </c>
      <c r="T41" s="169" t="s">
        <v>4336</v>
      </c>
      <c r="U41" s="96"/>
      <c r="V41"/>
      <c r="AB41" t="s">
        <v>25</v>
      </c>
      <c r="AC41" t="s">
        <v>25</v>
      </c>
      <c r="AD41" s="115"/>
      <c r="AF41" s="99">
        <v>22</v>
      </c>
      <c r="AG41" s="113" t="s">
        <v>4062</v>
      </c>
      <c r="AH41" s="113">
        <v>-98000</v>
      </c>
      <c r="AI41" s="99">
        <v>1</v>
      </c>
      <c r="AJ41" s="99">
        <f t="shared" si="5"/>
        <v>137</v>
      </c>
      <c r="AK41" s="113">
        <f t="shared" si="6"/>
        <v>-13426000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>
      <c r="A42" s="62">
        <v>99</v>
      </c>
      <c r="B42" s="11">
        <v>40</v>
      </c>
      <c r="C42" s="49">
        <f t="shared" si="9"/>
        <v>4774962.4051273419</v>
      </c>
      <c r="D42" s="3">
        <f t="shared" si="10"/>
        <v>3878839.323617144</v>
      </c>
      <c r="E42" s="3">
        <f t="shared" si="8"/>
        <v>417908614.51520973</v>
      </c>
      <c r="F42" s="3"/>
      <c r="G42" s="11"/>
      <c r="H42" s="11"/>
      <c r="K42" s="56"/>
      <c r="L42" s="117"/>
      <c r="M42" s="99" t="s">
        <v>965</v>
      </c>
      <c r="N42" s="113">
        <f t="shared" si="11"/>
        <v>0</v>
      </c>
      <c r="O42" s="69">
        <v>0</v>
      </c>
      <c r="P42" s="69">
        <v>80731</v>
      </c>
      <c r="Q42" s="170">
        <v>9957469</v>
      </c>
      <c r="R42" s="169" t="s">
        <v>4331</v>
      </c>
      <c r="S42" s="169">
        <f>S41</f>
        <v>14</v>
      </c>
      <c r="T42" s="169" t="s">
        <v>4404</v>
      </c>
      <c r="U42" s="96"/>
      <c r="V42"/>
      <c r="Z42" s="96"/>
      <c r="AF42" s="99">
        <v>23</v>
      </c>
      <c r="AG42" s="113" t="s">
        <v>4056</v>
      </c>
      <c r="AH42" s="113">
        <v>-26000000</v>
      </c>
      <c r="AI42" s="99">
        <v>0</v>
      </c>
      <c r="AJ42" s="99">
        <f t="shared" si="5"/>
        <v>136</v>
      </c>
      <c r="AK42" s="113">
        <f t="shared" si="6"/>
        <v>-3536000000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>
      <c r="A43" s="62">
        <v>99</v>
      </c>
      <c r="B43" s="11">
        <v>41</v>
      </c>
      <c r="C43" s="49">
        <f t="shared" si="9"/>
        <v>4822712.0291786157</v>
      </c>
      <c r="D43" s="3">
        <f t="shared" si="10"/>
        <v>3917627.7168533155</v>
      </c>
      <c r="E43" s="3">
        <f t="shared" si="8"/>
        <v>427171871.11783922</v>
      </c>
      <c r="F43" s="3"/>
      <c r="G43" s="11"/>
      <c r="H43" s="11"/>
      <c r="K43" s="99"/>
      <c r="L43" s="99"/>
      <c r="M43" s="99" t="s">
        <v>4339</v>
      </c>
      <c r="N43" s="113">
        <f t="shared" si="11"/>
        <v>0</v>
      </c>
      <c r="O43" s="69">
        <v>0</v>
      </c>
      <c r="P43" s="69">
        <v>310.5</v>
      </c>
      <c r="Q43" s="170">
        <v>9560464</v>
      </c>
      <c r="R43" s="169" t="s">
        <v>4342</v>
      </c>
      <c r="S43" s="169">
        <f>S42-1</f>
        <v>13</v>
      </c>
      <c r="T43" s="169" t="s">
        <v>4362</v>
      </c>
      <c r="U43" s="96"/>
      <c r="V43"/>
      <c r="Z43" s="96"/>
      <c r="AF43" s="99">
        <v>24</v>
      </c>
      <c r="AG43" s="113" t="s">
        <v>4056</v>
      </c>
      <c r="AH43" s="113">
        <v>25000000</v>
      </c>
      <c r="AI43" s="99">
        <v>1</v>
      </c>
      <c r="AJ43" s="99">
        <f t="shared" si="5"/>
        <v>136</v>
      </c>
      <c r="AK43" s="113">
        <f t="shared" si="6"/>
        <v>3400000000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>
      <c r="A44" s="62">
        <v>99</v>
      </c>
      <c r="B44" s="11">
        <v>42</v>
      </c>
      <c r="C44" s="49">
        <f t="shared" si="9"/>
        <v>4870939.1494704019</v>
      </c>
      <c r="D44" s="3">
        <f t="shared" si="10"/>
        <v>3956803.9940218488</v>
      </c>
      <c r="E44" s="3">
        <f t="shared" si="8"/>
        <v>436629443.69564456</v>
      </c>
      <c r="F44" s="3"/>
      <c r="G44" s="11"/>
      <c r="H44" s="11"/>
      <c r="K44" s="99"/>
      <c r="L44" s="99"/>
      <c r="M44" s="99" t="s">
        <v>4329</v>
      </c>
      <c r="N44" s="113">
        <f t="shared" si="11"/>
        <v>10188714.800000001</v>
      </c>
      <c r="O44" s="69">
        <v>53372</v>
      </c>
      <c r="P44" s="69">
        <v>190.9</v>
      </c>
      <c r="Q44" s="170">
        <v>10877284</v>
      </c>
      <c r="R44" s="169" t="s">
        <v>4356</v>
      </c>
      <c r="S44" s="169">
        <f>S43-5</f>
        <v>8</v>
      </c>
      <c r="T44" s="169" t="s">
        <v>4363</v>
      </c>
      <c r="U44" s="96"/>
      <c r="V44"/>
      <c r="Z44" s="96"/>
      <c r="AF44" s="99">
        <v>25</v>
      </c>
      <c r="AG44" s="113" t="s">
        <v>4057</v>
      </c>
      <c r="AH44" s="113">
        <v>110000</v>
      </c>
      <c r="AI44" s="99">
        <v>1</v>
      </c>
      <c r="AJ44" s="99">
        <f t="shared" si="5"/>
        <v>135</v>
      </c>
      <c r="AK44" s="113">
        <f t="shared" si="6"/>
        <v>14850000</v>
      </c>
      <c r="AL44" s="99"/>
      <c r="AO44" s="96"/>
      <c r="AP44" s="96"/>
      <c r="AQ44" s="96"/>
    </row>
    <row r="45" spans="1:52">
      <c r="A45" s="62">
        <v>99</v>
      </c>
      <c r="B45" s="11">
        <v>43</v>
      </c>
      <c r="C45" s="50">
        <f t="shared" si="9"/>
        <v>4919648.5409651063</v>
      </c>
      <c r="D45" s="3">
        <f t="shared" si="10"/>
        <v>3996372.0339620672</v>
      </c>
      <c r="E45" s="3">
        <f t="shared" si="8"/>
        <v>446285309.07656044</v>
      </c>
      <c r="F45" s="3"/>
      <c r="G45" s="11"/>
      <c r="H45" s="11"/>
      <c r="K45" s="99"/>
      <c r="L45" s="99"/>
      <c r="M45" s="99" t="s">
        <v>4335</v>
      </c>
      <c r="N45" s="117">
        <f t="shared" si="11"/>
        <v>22457020.800000001</v>
      </c>
      <c r="O45" s="69">
        <v>157152</v>
      </c>
      <c r="P45" s="69">
        <v>142.9</v>
      </c>
      <c r="Q45" s="170">
        <v>2000000</v>
      </c>
      <c r="R45" s="169" t="s">
        <v>4398</v>
      </c>
      <c r="S45" s="169">
        <f>S44-6</f>
        <v>2</v>
      </c>
      <c r="T45" s="169" t="s">
        <v>4402</v>
      </c>
      <c r="U45" s="96"/>
      <c r="AF45" s="99">
        <v>26</v>
      </c>
      <c r="AG45" s="113" t="s">
        <v>3804</v>
      </c>
      <c r="AH45" s="113">
        <v>380000</v>
      </c>
      <c r="AI45" s="99">
        <v>7</v>
      </c>
      <c r="AJ45" s="99">
        <f t="shared" si="5"/>
        <v>134</v>
      </c>
      <c r="AK45" s="113">
        <f t="shared" si="6"/>
        <v>50920000</v>
      </c>
      <c r="AL45" s="99"/>
      <c r="AO45" s="96"/>
      <c r="AP45" s="96"/>
      <c r="AQ45" s="96"/>
    </row>
    <row r="46" spans="1:52">
      <c r="A46" s="62">
        <v>99</v>
      </c>
      <c r="B46" s="11">
        <v>44</v>
      </c>
      <c r="C46" s="50">
        <f t="shared" si="9"/>
        <v>4968845.0263747573</v>
      </c>
      <c r="D46" s="3">
        <f t="shared" si="10"/>
        <v>4036335.7543016877</v>
      </c>
      <c r="E46" s="3">
        <f t="shared" si="8"/>
        <v>456143524.53016472</v>
      </c>
      <c r="F46" s="3"/>
      <c r="G46" s="11"/>
      <c r="H46" s="11"/>
      <c r="K46" s="99"/>
      <c r="L46" s="99"/>
      <c r="M46" s="73"/>
      <c r="N46" s="117"/>
      <c r="O46" s="96" t="s">
        <v>25</v>
      </c>
      <c r="Q46" s="170">
        <v>107586</v>
      </c>
      <c r="R46" s="169" t="s">
        <v>4406</v>
      </c>
      <c r="S46" s="169">
        <f>S45-2</f>
        <v>0</v>
      </c>
      <c r="T46" s="169" t="s">
        <v>4421</v>
      </c>
      <c r="U46" s="96"/>
      <c r="AF46" s="99">
        <v>27</v>
      </c>
      <c r="AG46" s="113" t="s">
        <v>3890</v>
      </c>
      <c r="AH46" s="113">
        <v>450000</v>
      </c>
      <c r="AI46" s="99">
        <v>6</v>
      </c>
      <c r="AJ46" s="99">
        <f t="shared" si="5"/>
        <v>127</v>
      </c>
      <c r="AK46" s="113">
        <f t="shared" si="6"/>
        <v>57150000</v>
      </c>
      <c r="AL46" s="99"/>
    </row>
    <row r="47" spans="1:52">
      <c r="A47" s="62">
        <v>99</v>
      </c>
      <c r="B47" s="11">
        <v>45</v>
      </c>
      <c r="C47" s="50">
        <f t="shared" si="9"/>
        <v>5018533.4766385052</v>
      </c>
      <c r="D47" s="3">
        <f t="shared" si="10"/>
        <v>4076699.1118447045</v>
      </c>
      <c r="E47" s="3">
        <f t="shared" si="8"/>
        <v>466208229.38556182</v>
      </c>
      <c r="F47" s="3"/>
      <c r="G47" s="11"/>
      <c r="H47" s="11"/>
      <c r="K47" s="99"/>
      <c r="L47" s="99"/>
      <c r="M47" s="169" t="s">
        <v>1155</v>
      </c>
      <c r="N47" s="117">
        <v>14908</v>
      </c>
      <c r="O47" s="96" t="s">
        <v>25</v>
      </c>
      <c r="P47" t="s">
        <v>25</v>
      </c>
      <c r="Q47" s="170"/>
      <c r="R47" s="169"/>
      <c r="S47" s="169"/>
      <c r="T47" s="169"/>
      <c r="U47" s="96"/>
      <c r="AF47" s="99">
        <v>28</v>
      </c>
      <c r="AG47" s="113" t="s">
        <v>3915</v>
      </c>
      <c r="AH47" s="113">
        <v>2800000</v>
      </c>
      <c r="AI47" s="99">
        <v>1</v>
      </c>
      <c r="AJ47" s="99">
        <f t="shared" si="5"/>
        <v>121</v>
      </c>
      <c r="AK47" s="113">
        <f t="shared" si="6"/>
        <v>338800000</v>
      </c>
      <c r="AL47" s="99"/>
    </row>
    <row r="48" spans="1:52">
      <c r="A48" s="64">
        <v>99</v>
      </c>
      <c r="B48" s="64">
        <v>46</v>
      </c>
      <c r="C48" s="65">
        <f t="shared" si="9"/>
        <v>5068718.8114048904</v>
      </c>
      <c r="D48" s="65">
        <f t="shared" si="10"/>
        <v>4117466.1029631514</v>
      </c>
      <c r="E48" s="65">
        <f t="shared" si="8"/>
        <v>476483646.68171477</v>
      </c>
      <c r="F48" s="3"/>
      <c r="G48" s="11"/>
      <c r="H48" s="11" t="s">
        <v>611</v>
      </c>
      <c r="K48" s="99"/>
      <c r="L48" s="99"/>
      <c r="M48" s="169" t="s">
        <v>1156</v>
      </c>
      <c r="N48" s="117">
        <v>5282</v>
      </c>
      <c r="O48" s="96"/>
      <c r="Q48" s="113">
        <f>SUM(N37:N45)-SUM(Q38:Q46)</f>
        <v>19879355.800000012</v>
      </c>
      <c r="R48" s="112"/>
      <c r="S48" s="112"/>
      <c r="T48" s="112"/>
      <c r="U48" s="96" t="s">
        <v>25</v>
      </c>
      <c r="AF48" s="99">
        <v>29</v>
      </c>
      <c r="AG48" s="113" t="s">
        <v>3916</v>
      </c>
      <c r="AH48" s="113">
        <v>-1500000</v>
      </c>
      <c r="AI48" s="99">
        <v>0</v>
      </c>
      <c r="AJ48" s="99">
        <f t="shared" si="5"/>
        <v>120</v>
      </c>
      <c r="AK48" s="113">
        <f t="shared" si="6"/>
        <v>-180000000</v>
      </c>
      <c r="AL48" s="99"/>
    </row>
    <row r="49" spans="1:38">
      <c r="A49" s="62">
        <v>99</v>
      </c>
      <c r="B49" s="11">
        <v>47</v>
      </c>
      <c r="C49" s="3">
        <f t="shared" si="9"/>
        <v>5119405.9995189393</v>
      </c>
      <c r="D49" s="3">
        <f t="shared" si="10"/>
        <v>4158640.7639927831</v>
      </c>
      <c r="E49" s="3">
        <f t="shared" si="8"/>
        <v>486974084.8508752</v>
      </c>
      <c r="F49" s="3"/>
      <c r="G49" s="11"/>
      <c r="H49" s="11"/>
      <c r="K49" s="169"/>
      <c r="L49" s="117"/>
      <c r="M49" s="169"/>
      <c r="N49" s="113"/>
      <c r="O49" s="115"/>
      <c r="P49" s="115"/>
      <c r="Q49" s="26"/>
      <c r="R49" s="186"/>
      <c r="S49" s="186"/>
      <c r="T49" t="s">
        <v>25</v>
      </c>
      <c r="U49" s="96"/>
      <c r="AF49" s="99">
        <v>30</v>
      </c>
      <c r="AG49" s="113" t="s">
        <v>3916</v>
      </c>
      <c r="AH49" s="113">
        <v>3050000</v>
      </c>
      <c r="AI49" s="99">
        <v>3</v>
      </c>
      <c r="AJ49" s="99">
        <f>AJ50+AI49</f>
        <v>120</v>
      </c>
      <c r="AK49" s="113">
        <f t="shared" si="6"/>
        <v>366000000</v>
      </c>
      <c r="AL49" s="99"/>
    </row>
    <row r="50" spans="1:38">
      <c r="A50" s="62">
        <v>99</v>
      </c>
      <c r="B50" s="11">
        <v>48</v>
      </c>
      <c r="C50" s="51">
        <f t="shared" si="9"/>
        <v>5170600.0595141286</v>
      </c>
      <c r="D50" s="51">
        <f t="shared" si="10"/>
        <v>4200227.1716327108</v>
      </c>
      <c r="E50" s="52">
        <f t="shared" si="8"/>
        <v>497683939.43577409</v>
      </c>
      <c r="F50" s="51"/>
      <c r="G50" s="11"/>
      <c r="H50" s="11"/>
      <c r="K50" s="169" t="s">
        <v>25</v>
      </c>
      <c r="L50" s="117"/>
      <c r="M50" s="169" t="s">
        <v>4189</v>
      </c>
      <c r="N50" s="113">
        <f>-O50*P50</f>
        <v>-17564430.599999998</v>
      </c>
      <c r="O50" s="99">
        <v>82773</v>
      </c>
      <c r="P50" s="99">
        <f>P38</f>
        <v>212.2</v>
      </c>
      <c r="R50" t="s">
        <v>25</v>
      </c>
      <c r="T50" t="s">
        <v>25</v>
      </c>
      <c r="U50" s="96"/>
      <c r="AF50" s="99">
        <v>31</v>
      </c>
      <c r="AG50" s="113" t="s">
        <v>3941</v>
      </c>
      <c r="AH50" s="113">
        <v>-8299612</v>
      </c>
      <c r="AI50" s="99">
        <v>2</v>
      </c>
      <c r="AJ50" s="99">
        <f t="shared" si="5"/>
        <v>117</v>
      </c>
      <c r="AK50" s="113">
        <f t="shared" si="6"/>
        <v>-971054604</v>
      </c>
      <c r="AL50" s="99"/>
    </row>
    <row r="51" spans="1:38">
      <c r="A51" s="63">
        <v>1400</v>
      </c>
      <c r="B51" s="11">
        <v>49</v>
      </c>
      <c r="C51" s="44">
        <f t="shared" si="9"/>
        <v>5222306.0601092698</v>
      </c>
      <c r="D51" s="3">
        <f t="shared" si="10"/>
        <v>4242229.4433490383</v>
      </c>
      <c r="E51" s="3">
        <f t="shared" si="8"/>
        <v>508617694.84124976</v>
      </c>
      <c r="F51" s="3"/>
      <c r="G51" s="11"/>
      <c r="H51" s="11"/>
      <c r="K51" s="169"/>
      <c r="L51" s="117"/>
      <c r="M51" s="169"/>
      <c r="N51" s="113"/>
      <c r="O51" s="96"/>
      <c r="P51" s="96"/>
      <c r="Q51" t="s">
        <v>25</v>
      </c>
      <c r="R51" t="s">
        <v>25</v>
      </c>
      <c r="T51" t="s">
        <v>25</v>
      </c>
      <c r="AF51" s="99">
        <v>32</v>
      </c>
      <c r="AG51" s="113" t="s">
        <v>3935</v>
      </c>
      <c r="AH51" s="113">
        <v>5000000</v>
      </c>
      <c r="AI51" s="99">
        <v>14</v>
      </c>
      <c r="AJ51" s="99">
        <f t="shared" si="5"/>
        <v>115</v>
      </c>
      <c r="AK51" s="113">
        <f t="shared" si="6"/>
        <v>575000000</v>
      </c>
      <c r="AL51" s="99"/>
    </row>
    <row r="52" spans="1:38">
      <c r="A52" s="63">
        <v>1400</v>
      </c>
      <c r="B52" s="11">
        <v>50</v>
      </c>
      <c r="C52" s="44">
        <f t="shared" si="9"/>
        <v>5274529.1207103627</v>
      </c>
      <c r="D52" s="3">
        <f t="shared" si="10"/>
        <v>4284651.7377825286</v>
      </c>
      <c r="E52" s="3">
        <f t="shared" si="8"/>
        <v>519779926.12100261</v>
      </c>
      <c r="F52" s="3"/>
      <c r="G52" s="11"/>
      <c r="H52" s="11"/>
      <c r="K52" s="169" t="s">
        <v>598</v>
      </c>
      <c r="L52" s="113">
        <f>SUM(L16:L43)</f>
        <v>297429265</v>
      </c>
      <c r="M52" s="169"/>
      <c r="N52" s="113">
        <f>SUM(N16:N51)</f>
        <v>419908865.69999999</v>
      </c>
      <c r="O52" t="s">
        <v>25</v>
      </c>
      <c r="Q52" t="s">
        <v>25</v>
      </c>
      <c r="S52" t="s">
        <v>25</v>
      </c>
      <c r="T52" t="s">
        <v>950</v>
      </c>
      <c r="U52">
        <v>6.3E-3</v>
      </c>
      <c r="W52" s="99" t="s">
        <v>4253</v>
      </c>
      <c r="X52" s="99">
        <v>218</v>
      </c>
      <c r="Y52" s="99">
        <v>10000</v>
      </c>
      <c r="Z52" s="99" t="s">
        <v>61</v>
      </c>
      <c r="AA52" s="99">
        <v>224.5</v>
      </c>
      <c r="AB52" s="99" t="s">
        <v>4343</v>
      </c>
      <c r="AF52" s="99">
        <v>33</v>
      </c>
      <c r="AG52" s="113" t="s">
        <v>991</v>
      </c>
      <c r="AH52" s="113">
        <v>-90000</v>
      </c>
      <c r="AI52" s="99">
        <v>1</v>
      </c>
      <c r="AJ52" s="99">
        <f t="shared" si="5"/>
        <v>101</v>
      </c>
      <c r="AK52" s="113">
        <f t="shared" si="6"/>
        <v>-9090000</v>
      </c>
      <c r="AL52" s="99"/>
    </row>
    <row r="53" spans="1:38">
      <c r="A53" s="63">
        <v>1400</v>
      </c>
      <c r="B53" s="11">
        <v>51</v>
      </c>
      <c r="C53" s="44">
        <f t="shared" si="9"/>
        <v>5327274.4119174667</v>
      </c>
      <c r="D53" s="3">
        <f t="shared" si="10"/>
        <v>4327498.2551603541</v>
      </c>
      <c r="E53" s="3">
        <f t="shared" si="8"/>
        <v>531175300.80017978</v>
      </c>
      <c r="F53" s="3"/>
      <c r="G53" s="11"/>
      <c r="H53" s="11"/>
      <c r="K53" s="169" t="s">
        <v>599</v>
      </c>
      <c r="L53" s="113">
        <f>L16+L17+L22</f>
        <v>354202</v>
      </c>
      <c r="M53" s="169"/>
      <c r="N53" s="113">
        <f>N16+N17+N28</f>
        <v>-4254206</v>
      </c>
      <c r="Q53" s="96">
        <f>O38+O39+O19-O50</f>
        <v>1000416</v>
      </c>
      <c r="R53" s="113">
        <f>Q53*P38</f>
        <v>212288275.19999999</v>
      </c>
      <c r="S53" t="s">
        <v>25</v>
      </c>
      <c r="T53" t="s">
        <v>61</v>
      </c>
      <c r="U53">
        <v>4.8999999999999998E-3</v>
      </c>
      <c r="W53" s="99" t="s">
        <v>4253</v>
      </c>
      <c r="X53" s="99">
        <v>216.1</v>
      </c>
      <c r="Y53" s="99">
        <v>10000</v>
      </c>
      <c r="Z53" s="99" t="s">
        <v>61</v>
      </c>
      <c r="AA53" s="99">
        <v>222.5</v>
      </c>
      <c r="AB53" s="99" t="s">
        <v>4343</v>
      </c>
      <c r="AF53" s="99">
        <v>34</v>
      </c>
      <c r="AG53" s="113" t="s">
        <v>4058</v>
      </c>
      <c r="AH53" s="113">
        <v>5600000</v>
      </c>
      <c r="AI53" s="99">
        <v>4</v>
      </c>
      <c r="AJ53" s="99">
        <f t="shared" si="5"/>
        <v>100</v>
      </c>
      <c r="AK53" s="113">
        <f t="shared" si="6"/>
        <v>560000000</v>
      </c>
      <c r="AL53" s="99"/>
    </row>
    <row r="54" spans="1:38">
      <c r="A54" s="63">
        <v>1400</v>
      </c>
      <c r="B54" s="11">
        <v>52</v>
      </c>
      <c r="C54" s="49">
        <f t="shared" si="9"/>
        <v>5380547.1560366414</v>
      </c>
      <c r="D54" s="3">
        <f t="shared" si="10"/>
        <v>4370773.2377119577</v>
      </c>
      <c r="E54" s="3">
        <f t="shared" si="8"/>
        <v>542808580.73450804</v>
      </c>
      <c r="F54" s="3"/>
      <c r="G54" s="11"/>
      <c r="H54" s="11"/>
      <c r="K54" s="56" t="s">
        <v>716</v>
      </c>
      <c r="L54" s="1">
        <f>L52+N7</f>
        <v>367429265</v>
      </c>
      <c r="M54" s="113"/>
      <c r="N54" s="169"/>
      <c r="O54" s="22"/>
      <c r="Q54" t="s">
        <v>4286</v>
      </c>
      <c r="R54" t="s">
        <v>4283</v>
      </c>
      <c r="T54" t="s">
        <v>6</v>
      </c>
      <c r="U54">
        <f>U52+U53</f>
        <v>1.12E-2</v>
      </c>
      <c r="W54" s="99" t="s">
        <v>4253</v>
      </c>
      <c r="X54" s="99">
        <v>215</v>
      </c>
      <c r="Y54" s="99">
        <v>24349</v>
      </c>
      <c r="Z54" s="99" t="s">
        <v>1020</v>
      </c>
      <c r="AA54" s="99">
        <v>221.5</v>
      </c>
      <c r="AB54" s="99" t="s">
        <v>4343</v>
      </c>
      <c r="AF54" s="99">
        <v>35</v>
      </c>
      <c r="AG54" s="113" t="s">
        <v>3986</v>
      </c>
      <c r="AH54" s="113">
        <v>750000</v>
      </c>
      <c r="AI54" s="99">
        <v>2</v>
      </c>
      <c r="AJ54" s="99">
        <f t="shared" si="5"/>
        <v>96</v>
      </c>
      <c r="AK54" s="113">
        <f t="shared" si="6"/>
        <v>72000000</v>
      </c>
      <c r="AL54" s="99"/>
    </row>
    <row r="55" spans="1:38">
      <c r="A55" s="63">
        <v>1400</v>
      </c>
      <c r="B55" s="11">
        <v>53</v>
      </c>
      <c r="C55" s="49">
        <f t="shared" si="9"/>
        <v>5434352.6275970079</v>
      </c>
      <c r="D55" s="3">
        <f t="shared" si="10"/>
        <v>4414480.970089077</v>
      </c>
      <c r="E55" s="3">
        <f t="shared" si="8"/>
        <v>554684624.00670612</v>
      </c>
      <c r="F55" s="3"/>
      <c r="G55" s="11"/>
      <c r="H55" s="11"/>
      <c r="M55" t="s">
        <v>4314</v>
      </c>
      <c r="R55" t="s">
        <v>25</v>
      </c>
      <c r="W55" s="99" t="s">
        <v>4253</v>
      </c>
      <c r="X55" s="99">
        <v>207</v>
      </c>
      <c r="Y55" s="99">
        <v>9625</v>
      </c>
      <c r="Z55" s="99" t="s">
        <v>61</v>
      </c>
      <c r="AA55" s="99">
        <v>215</v>
      </c>
      <c r="AB55" s="99" t="s">
        <v>4343</v>
      </c>
      <c r="AF55" s="172">
        <v>36</v>
      </c>
      <c r="AG55" s="171" t="s">
        <v>3996</v>
      </c>
      <c r="AH55" s="171">
        <v>-4242000</v>
      </c>
      <c r="AI55" s="172">
        <v>2</v>
      </c>
      <c r="AJ55" s="172">
        <f t="shared" si="5"/>
        <v>94</v>
      </c>
      <c r="AK55" s="171">
        <f t="shared" si="6"/>
        <v>-398748000</v>
      </c>
      <c r="AL55" s="172" t="s">
        <v>4067</v>
      </c>
    </row>
    <row r="56" spans="1:38">
      <c r="A56" s="63">
        <v>1400</v>
      </c>
      <c r="B56" s="11">
        <v>54</v>
      </c>
      <c r="C56" s="49">
        <f t="shared" si="9"/>
        <v>5488696.1538729779</v>
      </c>
      <c r="D56" s="3">
        <f t="shared" si="10"/>
        <v>4458625.7797899675</v>
      </c>
      <c r="E56" s="3">
        <f t="shared" si="8"/>
        <v>566808386.86092329</v>
      </c>
      <c r="F56" s="3"/>
      <c r="G56" s="11"/>
      <c r="H56" s="11"/>
      <c r="M56" s="25" t="s">
        <v>4117</v>
      </c>
      <c r="O56" t="s">
        <v>25</v>
      </c>
      <c r="W56" s="99"/>
      <c r="X56" s="169"/>
      <c r="Y56" s="169"/>
      <c r="Z56" s="99"/>
      <c r="AA56" s="99"/>
      <c r="AB56" s="99"/>
      <c r="AF56" s="99">
        <v>37</v>
      </c>
      <c r="AG56" s="113" t="s">
        <v>3996</v>
      </c>
      <c r="AH56" s="113">
        <v>4100000</v>
      </c>
      <c r="AI56" s="99">
        <v>0</v>
      </c>
      <c r="AJ56" s="99">
        <f t="shared" si="5"/>
        <v>92</v>
      </c>
      <c r="AK56" s="113">
        <f t="shared" si="6"/>
        <v>377200000</v>
      </c>
      <c r="AL56" s="99"/>
    </row>
    <row r="57" spans="1:38">
      <c r="A57" s="63">
        <v>1400</v>
      </c>
      <c r="B57" s="11">
        <v>55</v>
      </c>
      <c r="C57" s="50">
        <f t="shared" si="9"/>
        <v>5543583.1154117081</v>
      </c>
      <c r="D57" s="3">
        <f t="shared" si="10"/>
        <v>4503212.0375878671</v>
      </c>
      <c r="E57" s="3">
        <f t="shared" si="8"/>
        <v>579184925.67596567</v>
      </c>
      <c r="F57" s="3"/>
      <c r="G57" s="11"/>
      <c r="H57" s="11"/>
      <c r="M57" s="25" t="s">
        <v>4085</v>
      </c>
      <c r="T57" t="s">
        <v>25</v>
      </c>
      <c r="AF57" s="99">
        <v>38</v>
      </c>
      <c r="AG57" s="113" t="s">
        <v>4002</v>
      </c>
      <c r="AH57" s="113">
        <v>4100000</v>
      </c>
      <c r="AI57" s="99">
        <v>1</v>
      </c>
      <c r="AJ57" s="99">
        <f t="shared" si="5"/>
        <v>92</v>
      </c>
      <c r="AK57" s="113">
        <f t="shared" si="6"/>
        <v>377200000</v>
      </c>
      <c r="AL57" s="99"/>
    </row>
    <row r="58" spans="1:38" ht="30">
      <c r="A58" s="63">
        <v>1400</v>
      </c>
      <c r="B58" s="11">
        <v>56</v>
      </c>
      <c r="C58" s="50">
        <f t="shared" si="9"/>
        <v>5599018.9465658255</v>
      </c>
      <c r="D58" s="3">
        <f t="shared" si="10"/>
        <v>4548244.1579637462</v>
      </c>
      <c r="E58" s="3">
        <f t="shared" si="8"/>
        <v>591819398.97808707</v>
      </c>
      <c r="F58" s="3"/>
      <c r="G58" s="11"/>
      <c r="H58" s="11"/>
      <c r="M58" s="178" t="s">
        <v>4121</v>
      </c>
      <c r="AF58" s="99">
        <v>39</v>
      </c>
      <c r="AG58" s="113" t="s">
        <v>4011</v>
      </c>
      <c r="AH58" s="113">
        <v>790000</v>
      </c>
      <c r="AI58" s="99">
        <v>15</v>
      </c>
      <c r="AJ58" s="99">
        <f t="shared" si="5"/>
        <v>91</v>
      </c>
      <c r="AK58" s="113">
        <f t="shared" si="6"/>
        <v>71890000</v>
      </c>
      <c r="AL58" s="99"/>
    </row>
    <row r="59" spans="1:38">
      <c r="A59" s="63">
        <v>1400</v>
      </c>
      <c r="B59" s="11">
        <v>57</v>
      </c>
      <c r="C59" s="50">
        <f t="shared" si="9"/>
        <v>5655009.1360314842</v>
      </c>
      <c r="D59" s="3">
        <f t="shared" si="10"/>
        <v>4593726.5995433833</v>
      </c>
      <c r="E59" s="3">
        <f t="shared" si="8"/>
        <v>604717069.49413705</v>
      </c>
      <c r="F59" s="3"/>
      <c r="G59" s="11"/>
      <c r="H59" s="11"/>
      <c r="K59" s="3"/>
      <c r="L59" s="11" t="s">
        <v>304</v>
      </c>
      <c r="M59" s="122"/>
      <c r="N59" s="96"/>
      <c r="P59" s="115"/>
      <c r="AF59" s="172">
        <v>40</v>
      </c>
      <c r="AG59" s="171" t="s">
        <v>4042</v>
      </c>
      <c r="AH59" s="171">
        <v>-3865000</v>
      </c>
      <c r="AI59" s="172">
        <v>6</v>
      </c>
      <c r="AJ59" s="172">
        <f t="shared" si="5"/>
        <v>76</v>
      </c>
      <c r="AK59" s="173">
        <f t="shared" si="6"/>
        <v>-293740000</v>
      </c>
      <c r="AL59" s="172" t="s">
        <v>4068</v>
      </c>
    </row>
    <row r="60" spans="1:38">
      <c r="A60" s="63">
        <v>1400</v>
      </c>
      <c r="B60" s="11">
        <v>58</v>
      </c>
      <c r="C60" s="3">
        <f t="shared" si="9"/>
        <v>5711559.227391799</v>
      </c>
      <c r="D60" s="3">
        <f t="shared" si="10"/>
        <v>4639663.8655388169</v>
      </c>
      <c r="E60" s="3">
        <f t="shared" si="8"/>
        <v>617883306.24587286</v>
      </c>
      <c r="F60" s="3"/>
      <c r="G60" s="11"/>
      <c r="H60" s="11"/>
      <c r="K60" s="1" t="s">
        <v>305</v>
      </c>
      <c r="L60" s="1">
        <v>70000</v>
      </c>
      <c r="M60" s="122" t="s">
        <v>4315</v>
      </c>
      <c r="N60" s="96" t="s">
        <v>25</v>
      </c>
      <c r="P60" s="115"/>
      <c r="AF60" s="20">
        <v>41</v>
      </c>
      <c r="AG60" s="117" t="s">
        <v>4072</v>
      </c>
      <c r="AH60" s="117">
        <v>18800000</v>
      </c>
      <c r="AI60" s="20">
        <v>3</v>
      </c>
      <c r="AJ60" s="99">
        <f t="shared" si="5"/>
        <v>70</v>
      </c>
      <c r="AK60" s="113">
        <f t="shared" si="6"/>
        <v>1316000000</v>
      </c>
      <c r="AL60" s="20"/>
    </row>
    <row r="61" spans="1:38">
      <c r="A61" s="63">
        <v>1400</v>
      </c>
      <c r="B61" s="11">
        <v>59</v>
      </c>
      <c r="C61" s="3">
        <f t="shared" si="9"/>
        <v>5768674.819665717</v>
      </c>
      <c r="D61" s="3">
        <f t="shared" si="10"/>
        <v>4686060.5041942047</v>
      </c>
      <c r="E61" s="3">
        <f t="shared" si="8"/>
        <v>631323586.68626177</v>
      </c>
      <c r="F61" s="3"/>
      <c r="G61" s="11"/>
      <c r="H61" s="11"/>
      <c r="K61" s="1" t="s">
        <v>321</v>
      </c>
      <c r="L61" s="1">
        <v>100000</v>
      </c>
      <c r="M61" s="122" t="s">
        <v>4316</v>
      </c>
      <c r="P61" s="115"/>
      <c r="AF61" s="20">
        <v>42</v>
      </c>
      <c r="AG61" s="117" t="s">
        <v>4089</v>
      </c>
      <c r="AH61" s="117">
        <v>500000</v>
      </c>
      <c r="AI61" s="20">
        <v>1</v>
      </c>
      <c r="AJ61" s="99">
        <f t="shared" si="5"/>
        <v>67</v>
      </c>
      <c r="AK61" s="113">
        <f t="shared" si="6"/>
        <v>33500000</v>
      </c>
      <c r="AL61" s="20"/>
    </row>
    <row r="62" spans="1:38">
      <c r="A62" s="63">
        <v>1400</v>
      </c>
      <c r="B62" s="11">
        <v>60</v>
      </c>
      <c r="C62" s="3">
        <f t="shared" si="9"/>
        <v>5826361.5678623738</v>
      </c>
      <c r="D62" s="3">
        <f t="shared" si="10"/>
        <v>4732921.1092361463</v>
      </c>
      <c r="E62" s="46">
        <f t="shared" si="8"/>
        <v>645043498.87861323</v>
      </c>
      <c r="F62" s="3"/>
      <c r="G62" s="11"/>
      <c r="H62" s="11"/>
      <c r="K62" s="1" t="s">
        <v>306</v>
      </c>
      <c r="L62" s="1">
        <v>80000</v>
      </c>
      <c r="M62" s="122" t="s">
        <v>4317</v>
      </c>
      <c r="P62" s="115"/>
      <c r="AF62" s="20">
        <v>43</v>
      </c>
      <c r="AG62" s="117" t="s">
        <v>4093</v>
      </c>
      <c r="AH62" s="117">
        <v>200000</v>
      </c>
      <c r="AI62" s="20">
        <v>3</v>
      </c>
      <c r="AJ62" s="99">
        <f>AJ63+AI62</f>
        <v>66</v>
      </c>
      <c r="AK62" s="113">
        <f t="shared" si="6"/>
        <v>13200000</v>
      </c>
      <c r="AL62" s="20"/>
    </row>
    <row r="63" spans="1:38">
      <c r="E63" s="26"/>
      <c r="K63" s="31" t="s">
        <v>307</v>
      </c>
      <c r="L63" s="1">
        <v>150000</v>
      </c>
      <c r="M63" s="122" t="s">
        <v>4318</v>
      </c>
      <c r="P63" s="115"/>
      <c r="AF63" s="20">
        <v>44</v>
      </c>
      <c r="AG63" s="117" t="s">
        <v>4100</v>
      </c>
      <c r="AH63" s="117">
        <v>1000000</v>
      </c>
      <c r="AI63" s="20">
        <v>3</v>
      </c>
      <c r="AJ63" s="99">
        <f t="shared" si="5"/>
        <v>63</v>
      </c>
      <c r="AK63" s="113">
        <f t="shared" si="6"/>
        <v>63000000</v>
      </c>
      <c r="AL63" s="20"/>
    </row>
    <row r="64" spans="1:38">
      <c r="E64" s="26"/>
      <c r="K64" s="31" t="s">
        <v>308</v>
      </c>
      <c r="L64" s="1">
        <v>300000</v>
      </c>
      <c r="M64" s="191" t="s">
        <v>4319</v>
      </c>
      <c r="P64" s="115"/>
      <c r="AF64" s="20">
        <v>45</v>
      </c>
      <c r="AG64" s="117" t="s">
        <v>4112</v>
      </c>
      <c r="AH64" s="117">
        <v>1300000</v>
      </c>
      <c r="AI64" s="20">
        <v>0</v>
      </c>
      <c r="AJ64" s="99">
        <f>AJ65+AI64</f>
        <v>60</v>
      </c>
      <c r="AK64" s="113">
        <f t="shared" si="6"/>
        <v>78000000</v>
      </c>
      <c r="AL64" s="20"/>
    </row>
    <row r="65" spans="1:38">
      <c r="K65" s="31" t="s">
        <v>309</v>
      </c>
      <c r="L65" s="1">
        <v>100000</v>
      </c>
      <c r="M65" s="192" t="s">
        <v>4322</v>
      </c>
      <c r="P65" s="115"/>
      <c r="Q65" s="186"/>
      <c r="R65" s="186"/>
      <c r="S65" s="115"/>
      <c r="AF65" s="20">
        <v>45</v>
      </c>
      <c r="AG65" s="117" t="s">
        <v>4112</v>
      </c>
      <c r="AH65" s="117">
        <v>995000</v>
      </c>
      <c r="AI65" s="20">
        <v>2</v>
      </c>
      <c r="AJ65" s="99">
        <f t="shared" ref="AJ65:AJ88" si="12">AJ66+AI65</f>
        <v>60</v>
      </c>
      <c r="AK65" s="113">
        <f t="shared" si="6"/>
        <v>59700000</v>
      </c>
      <c r="AL65" s="20"/>
    </row>
    <row r="66" spans="1:38">
      <c r="K66" s="31" t="s">
        <v>310</v>
      </c>
      <c r="L66" s="1">
        <v>200000</v>
      </c>
      <c r="M66" s="122" t="s">
        <v>4339</v>
      </c>
      <c r="P66" s="115"/>
      <c r="Q66" s="115"/>
      <c r="R66" s="115"/>
      <c r="S66" s="115"/>
      <c r="AF66" s="20">
        <v>46</v>
      </c>
      <c r="AG66" s="117" t="s">
        <v>4124</v>
      </c>
      <c r="AH66" s="117">
        <v>13000000</v>
      </c>
      <c r="AI66" s="20">
        <v>2</v>
      </c>
      <c r="AJ66" s="99">
        <f t="shared" si="12"/>
        <v>58</v>
      </c>
      <c r="AK66" s="113">
        <f t="shared" si="6"/>
        <v>754000000</v>
      </c>
      <c r="AL66" s="20"/>
    </row>
    <row r="67" spans="1:38">
      <c r="A67" t="s">
        <v>25</v>
      </c>
      <c r="F67" t="s">
        <v>310</v>
      </c>
      <c r="G67" t="s">
        <v>4104</v>
      </c>
      <c r="K67" s="18" t="s">
        <v>311</v>
      </c>
      <c r="L67" s="18">
        <v>300000</v>
      </c>
      <c r="M67" s="96"/>
      <c r="P67" s="115"/>
      <c r="Q67" s="115"/>
      <c r="R67" s="115"/>
      <c r="S67" s="115"/>
      <c r="AF67" s="20">
        <v>47</v>
      </c>
      <c r="AG67" s="117" t="s">
        <v>4137</v>
      </c>
      <c r="AH67" s="117">
        <v>-3100000</v>
      </c>
      <c r="AI67" s="20">
        <v>3</v>
      </c>
      <c r="AJ67" s="99">
        <f t="shared" si="12"/>
        <v>56</v>
      </c>
      <c r="AK67" s="113">
        <f t="shared" si="6"/>
        <v>-173600000</v>
      </c>
      <c r="AL67" s="20"/>
    </row>
    <row r="68" spans="1:38">
      <c r="F68" t="s">
        <v>4108</v>
      </c>
      <c r="G68" t="s">
        <v>4103</v>
      </c>
      <c r="K68" s="32" t="s">
        <v>312</v>
      </c>
      <c r="L68" s="1">
        <v>200000</v>
      </c>
      <c r="M68" s="96"/>
      <c r="N68" s="96"/>
      <c r="O68" s="96"/>
      <c r="P68" s="115"/>
      <c r="Q68" s="115"/>
      <c r="R68" s="115"/>
      <c r="S68" s="115"/>
      <c r="W68" s="115"/>
      <c r="AF68" s="20">
        <v>48</v>
      </c>
      <c r="AG68" s="117" t="s">
        <v>4152</v>
      </c>
      <c r="AH68" s="117">
        <v>45640000</v>
      </c>
      <c r="AI68" s="20">
        <v>1</v>
      </c>
      <c r="AJ68" s="99">
        <f t="shared" si="12"/>
        <v>53</v>
      </c>
      <c r="AK68" s="113">
        <f t="shared" si="6"/>
        <v>2418920000</v>
      </c>
      <c r="AL68" s="20"/>
    </row>
    <row r="69" spans="1:38">
      <c r="F69" t="s">
        <v>4109</v>
      </c>
      <c r="G69" t="s">
        <v>4105</v>
      </c>
      <c r="K69" s="32" t="s">
        <v>313</v>
      </c>
      <c r="L69" s="1">
        <v>20000</v>
      </c>
      <c r="M69" s="96"/>
      <c r="N69" s="96"/>
      <c r="O69" s="96"/>
      <c r="P69" s="115"/>
      <c r="Q69" s="115"/>
      <c r="R69" s="115"/>
      <c r="S69" s="115"/>
      <c r="W69" s="163"/>
      <c r="AF69" s="20">
        <v>49</v>
      </c>
      <c r="AG69" s="117" t="s">
        <v>4160</v>
      </c>
      <c r="AH69" s="117">
        <v>33500000</v>
      </c>
      <c r="AI69" s="20">
        <v>1</v>
      </c>
      <c r="AJ69" s="99">
        <f t="shared" si="12"/>
        <v>52</v>
      </c>
      <c r="AK69" s="113">
        <f t="shared" si="6"/>
        <v>1742000000</v>
      </c>
      <c r="AL69" s="20"/>
    </row>
    <row r="70" spans="1:38">
      <c r="G70" t="s">
        <v>4106</v>
      </c>
      <c r="K70" s="32" t="s">
        <v>315</v>
      </c>
      <c r="L70" s="1">
        <v>50000</v>
      </c>
      <c r="M70" s="96"/>
      <c r="N70" s="96"/>
      <c r="O70" s="96"/>
      <c r="P70" s="115"/>
      <c r="Q70" s="115"/>
      <c r="R70" s="115"/>
      <c r="S70" s="115"/>
      <c r="W70" s="115"/>
      <c r="X70" s="115"/>
      <c r="Y70" s="115"/>
      <c r="Z70" s="115"/>
      <c r="AA70" s="115"/>
      <c r="AB70" s="115"/>
      <c r="AC70" s="115"/>
      <c r="AF70" s="20">
        <v>50</v>
      </c>
      <c r="AG70" s="117" t="s">
        <v>4165</v>
      </c>
      <c r="AH70" s="117">
        <v>12000000</v>
      </c>
      <c r="AI70" s="20">
        <v>1</v>
      </c>
      <c r="AJ70" s="99">
        <f t="shared" si="12"/>
        <v>51</v>
      </c>
      <c r="AK70" s="117">
        <f t="shared" si="6"/>
        <v>612000000</v>
      </c>
      <c r="AL70" s="20"/>
    </row>
    <row r="71" spans="1:38">
      <c r="G71" t="s">
        <v>4107</v>
      </c>
      <c r="K71" s="32" t="s">
        <v>316</v>
      </c>
      <c r="L71" s="1">
        <v>90000</v>
      </c>
      <c r="M71" s="96"/>
      <c r="N71" s="96"/>
      <c r="O71" s="96"/>
      <c r="P71" s="115"/>
      <c r="Q71" s="115"/>
      <c r="R71" s="115"/>
      <c r="S71" s="115"/>
      <c r="W71" s="115"/>
      <c r="X71" s="128"/>
      <c r="Y71" s="115"/>
      <c r="Z71" s="115"/>
      <c r="AA71" s="115"/>
      <c r="AB71" s="128"/>
      <c r="AC71" s="115"/>
      <c r="AD71" s="115"/>
      <c r="AF71" s="20">
        <v>51</v>
      </c>
      <c r="AG71" s="117" t="s">
        <v>4171</v>
      </c>
      <c r="AH71" s="117">
        <v>15500000</v>
      </c>
      <c r="AI71" s="20">
        <v>4</v>
      </c>
      <c r="AJ71" s="99">
        <f t="shared" si="12"/>
        <v>50</v>
      </c>
      <c r="AK71" s="117">
        <f t="shared" si="6"/>
        <v>775000000</v>
      </c>
      <c r="AL71" s="20"/>
    </row>
    <row r="72" spans="1:38">
      <c r="G72" t="s">
        <v>4111</v>
      </c>
      <c r="K72" s="32" t="s">
        <v>317</v>
      </c>
      <c r="L72" s="1">
        <v>50000</v>
      </c>
      <c r="M72" s="96"/>
      <c r="N72" s="96"/>
      <c r="O72" s="96"/>
      <c r="P72" s="115"/>
      <c r="Q72" s="115"/>
      <c r="R72" s="115"/>
      <c r="S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4175</v>
      </c>
      <c r="AH72" s="117">
        <v>150000</v>
      </c>
      <c r="AI72" s="20">
        <v>1</v>
      </c>
      <c r="AJ72" s="99">
        <f t="shared" si="12"/>
        <v>46</v>
      </c>
      <c r="AK72" s="117">
        <f t="shared" si="6"/>
        <v>6900000</v>
      </c>
      <c r="AL72" s="20"/>
    </row>
    <row r="73" spans="1:38">
      <c r="G73" t="s">
        <v>4110</v>
      </c>
      <c r="K73" s="32" t="s">
        <v>327</v>
      </c>
      <c r="L73" s="1">
        <v>150000</v>
      </c>
      <c r="M73" s="96"/>
      <c r="N73" s="96"/>
      <c r="O73" s="96"/>
      <c r="P73" s="115"/>
      <c r="Q73" s="115"/>
      <c r="R73" s="115"/>
      <c r="S73" s="115"/>
      <c r="W73" s="115"/>
      <c r="X73" s="128"/>
      <c r="Y73" s="115"/>
      <c r="Z73" s="115"/>
      <c r="AA73" s="115"/>
      <c r="AB73" s="128"/>
      <c r="AC73" s="115"/>
      <c r="AD73" s="115"/>
      <c r="AF73" s="181">
        <v>53</v>
      </c>
      <c r="AG73" s="182" t="s">
        <v>4181</v>
      </c>
      <c r="AH73" s="182">
        <v>29000000</v>
      </c>
      <c r="AI73" s="181">
        <v>15</v>
      </c>
      <c r="AJ73" s="181">
        <f t="shared" si="12"/>
        <v>45</v>
      </c>
      <c r="AK73" s="182">
        <f t="shared" si="6"/>
        <v>1305000000</v>
      </c>
      <c r="AL73" s="181" t="s">
        <v>4195</v>
      </c>
    </row>
    <row r="74" spans="1:38">
      <c r="K74" s="32" t="s">
        <v>318</v>
      </c>
      <c r="L74" s="1">
        <v>15000</v>
      </c>
      <c r="N74" s="96"/>
      <c r="P74" s="115"/>
      <c r="Q74" s="115"/>
      <c r="R74" s="115"/>
      <c r="S74" s="115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4219</v>
      </c>
      <c r="AH74" s="117">
        <v>-130000</v>
      </c>
      <c r="AI74" s="20">
        <v>7</v>
      </c>
      <c r="AJ74" s="99">
        <f t="shared" si="12"/>
        <v>30</v>
      </c>
      <c r="AK74" s="117">
        <f t="shared" si="6"/>
        <v>-3900000</v>
      </c>
      <c r="AL74" s="20" t="s">
        <v>4221</v>
      </c>
    </row>
    <row r="75" spans="1:38">
      <c r="K75" s="32" t="s">
        <v>319</v>
      </c>
      <c r="L75" s="1">
        <v>20000</v>
      </c>
      <c r="N75" s="96"/>
      <c r="P75" s="115"/>
      <c r="Q75" s="115"/>
      <c r="R75" s="115"/>
      <c r="S75" s="115"/>
      <c r="W75" s="115"/>
      <c r="X75" s="128"/>
      <c r="Y75" s="115"/>
      <c r="Z75" s="115"/>
      <c r="AA75" s="115"/>
      <c r="AB75" s="128"/>
      <c r="AC75" s="115"/>
      <c r="AD75" s="115"/>
      <c r="AF75" s="20">
        <v>55</v>
      </c>
      <c r="AG75" s="117" t="s">
        <v>4275</v>
      </c>
      <c r="AH75" s="117">
        <v>232000</v>
      </c>
      <c r="AI75" s="20">
        <v>2</v>
      </c>
      <c r="AJ75" s="99">
        <f t="shared" si="12"/>
        <v>23</v>
      </c>
      <c r="AK75" s="117">
        <f>AH75*AJ75</f>
        <v>5336000</v>
      </c>
      <c r="AL75" s="20" t="s">
        <v>4277</v>
      </c>
    </row>
    <row r="76" spans="1:38">
      <c r="K76" s="32" t="s">
        <v>320</v>
      </c>
      <c r="L76" s="1">
        <v>40000</v>
      </c>
      <c r="N76" s="96"/>
      <c r="P76" s="115"/>
      <c r="Q76" s="115"/>
      <c r="R76" s="115"/>
      <c r="S76" s="115"/>
      <c r="W76" s="115"/>
      <c r="X76" s="128"/>
      <c r="Y76" s="115"/>
      <c r="Z76" s="115"/>
      <c r="AA76" s="115"/>
      <c r="AB76" s="128"/>
      <c r="AC76" s="115"/>
      <c r="AD76" s="115"/>
      <c r="AF76" s="20">
        <v>56</v>
      </c>
      <c r="AG76" s="117" t="s">
        <v>4289</v>
      </c>
      <c r="AH76" s="117">
        <v>-170000</v>
      </c>
      <c r="AI76" s="20">
        <v>3</v>
      </c>
      <c r="AJ76" s="99">
        <f t="shared" si="12"/>
        <v>21</v>
      </c>
      <c r="AK76" s="117">
        <f t="shared" si="6"/>
        <v>-3570000</v>
      </c>
      <c r="AL76" s="20"/>
    </row>
    <row r="77" spans="1:38">
      <c r="K77" s="32" t="s">
        <v>322</v>
      </c>
      <c r="L77" s="1">
        <v>150000</v>
      </c>
      <c r="N77" s="96"/>
      <c r="P77" s="115"/>
      <c r="Q77" s="115"/>
      <c r="R77" s="115"/>
      <c r="S77" s="115"/>
      <c r="W77" s="115"/>
      <c r="X77" s="115"/>
      <c r="Y77" s="115"/>
      <c r="Z77" s="115"/>
      <c r="AA77" s="115"/>
      <c r="AB77" s="115"/>
      <c r="AC77" s="115"/>
      <c r="AD77" s="115"/>
      <c r="AF77" s="20">
        <v>57</v>
      </c>
      <c r="AG77" s="117" t="s">
        <v>4304</v>
      </c>
      <c r="AH77" s="117">
        <v>-300000</v>
      </c>
      <c r="AI77" s="20">
        <v>3</v>
      </c>
      <c r="AJ77" s="99">
        <f t="shared" si="12"/>
        <v>18</v>
      </c>
      <c r="AK77" s="117">
        <f t="shared" si="6"/>
        <v>-5400000</v>
      </c>
      <c r="AL77" s="20"/>
    </row>
    <row r="78" spans="1:38">
      <c r="K78" s="32" t="s">
        <v>324</v>
      </c>
      <c r="L78" s="1">
        <v>75000</v>
      </c>
      <c r="P78" s="115"/>
      <c r="Q78" s="115"/>
      <c r="R78" s="115"/>
      <c r="S78" s="115"/>
      <c r="T78" s="115"/>
      <c r="W78" s="115"/>
      <c r="X78" s="115"/>
      <c r="Y78" s="115"/>
      <c r="Z78" s="115"/>
      <c r="AA78" s="115"/>
      <c r="AB78" s="115"/>
      <c r="AC78" s="115"/>
      <c r="AD78" s="115"/>
      <c r="AF78" s="20">
        <v>58</v>
      </c>
      <c r="AG78" s="117" t="s">
        <v>4331</v>
      </c>
      <c r="AH78" s="117">
        <v>-11400000</v>
      </c>
      <c r="AI78" s="20">
        <v>13</v>
      </c>
      <c r="AJ78" s="99">
        <f t="shared" si="12"/>
        <v>15</v>
      </c>
      <c r="AK78" s="117">
        <f t="shared" si="6"/>
        <v>-171000000</v>
      </c>
      <c r="AL78" s="20"/>
    </row>
    <row r="79" spans="1:38">
      <c r="K79" s="32" t="s">
        <v>314</v>
      </c>
      <c r="L79" s="1">
        <v>140000</v>
      </c>
      <c r="P79" s="115"/>
      <c r="Q79" s="115"/>
      <c r="R79" s="115"/>
      <c r="S79" s="115"/>
      <c r="T79" s="115"/>
      <c r="W79" s="115"/>
      <c r="X79" s="115"/>
      <c r="Y79" s="115"/>
      <c r="AC79" s="115"/>
      <c r="AD79" s="115"/>
      <c r="AF79" s="20">
        <v>59</v>
      </c>
      <c r="AG79" s="117" t="s">
        <v>4405</v>
      </c>
      <c r="AH79" s="117">
        <v>-10000000</v>
      </c>
      <c r="AI79" s="20">
        <v>1</v>
      </c>
      <c r="AJ79" s="99">
        <f t="shared" si="12"/>
        <v>2</v>
      </c>
      <c r="AK79" s="117">
        <f t="shared" si="6"/>
        <v>-20000000</v>
      </c>
      <c r="AL79" s="20"/>
    </row>
    <row r="80" spans="1:38">
      <c r="K80" s="2" t="s">
        <v>478</v>
      </c>
      <c r="L80" s="3">
        <v>1083333</v>
      </c>
      <c r="P80" s="115"/>
      <c r="Q80" s="55"/>
      <c r="R80" s="187"/>
      <c r="S80" s="115"/>
      <c r="T80" s="115"/>
      <c r="X80" s="115"/>
      <c r="Y80" s="115"/>
      <c r="AC80" s="115"/>
      <c r="AD80" s="115"/>
      <c r="AF80" s="20">
        <v>60</v>
      </c>
      <c r="AG80" s="117" t="s">
        <v>4406</v>
      </c>
      <c r="AH80" s="117">
        <v>-2450000</v>
      </c>
      <c r="AI80" s="20">
        <v>1</v>
      </c>
      <c r="AJ80" s="99">
        <f t="shared" si="12"/>
        <v>1</v>
      </c>
      <c r="AK80" s="117">
        <f t="shared" si="6"/>
        <v>-2450000</v>
      </c>
      <c r="AL80" s="20"/>
    </row>
    <row r="81" spans="11:50">
      <c r="K81" s="2"/>
      <c r="L81" s="3"/>
      <c r="P81" s="128"/>
      <c r="Q81" s="55"/>
      <c r="R81" s="187"/>
      <c r="S81" s="115"/>
      <c r="T81" s="115"/>
      <c r="X81" s="115"/>
      <c r="Y81" s="115"/>
      <c r="AC81" s="115"/>
      <c r="AD81" s="115"/>
      <c r="AF81" s="20"/>
      <c r="AG81" s="117"/>
      <c r="AH81" s="117"/>
      <c r="AI81" s="20"/>
      <c r="AJ81" s="99">
        <f t="shared" si="12"/>
        <v>0</v>
      </c>
      <c r="AK81" s="117">
        <f t="shared" si="6"/>
        <v>0</v>
      </c>
      <c r="AL81" s="20"/>
    </row>
    <row r="82" spans="11:50">
      <c r="K82" s="2"/>
      <c r="L82" s="3"/>
      <c r="P82" s="128"/>
      <c r="Q82" s="26"/>
      <c r="R82" s="187"/>
      <c r="S82" s="115"/>
      <c r="AD82" s="115"/>
      <c r="AF82" s="20"/>
      <c r="AG82" s="117"/>
      <c r="AH82" s="117"/>
      <c r="AI82" s="20"/>
      <c r="AJ82" s="99">
        <f t="shared" si="12"/>
        <v>0</v>
      </c>
      <c r="AK82" s="117">
        <f t="shared" si="6"/>
        <v>0</v>
      </c>
      <c r="AL82" s="20"/>
      <c r="AM82" t="s">
        <v>25</v>
      </c>
      <c r="AP82" t="s">
        <v>25</v>
      </c>
      <c r="AU82" t="s">
        <v>25</v>
      </c>
    </row>
    <row r="83" spans="11:50">
      <c r="K83" s="2" t="s">
        <v>6</v>
      </c>
      <c r="L83" s="3">
        <f>SUM(L60:L81)</f>
        <v>3383333</v>
      </c>
      <c r="P83" s="115"/>
      <c r="Q83" s="55"/>
      <c r="R83" s="187"/>
      <c r="S83" s="122"/>
      <c r="AF83" s="20"/>
      <c r="AG83" s="117"/>
      <c r="AH83" s="117"/>
      <c r="AI83" s="20"/>
      <c r="AJ83" s="99">
        <f t="shared" si="12"/>
        <v>0</v>
      </c>
      <c r="AK83" s="117">
        <f t="shared" si="6"/>
        <v>0</v>
      </c>
      <c r="AL83" s="20"/>
    </row>
    <row r="84" spans="11:50">
      <c r="K84" s="2" t="s">
        <v>328</v>
      </c>
      <c r="L84" s="3">
        <f>L83/30</f>
        <v>112777.76666666666</v>
      </c>
      <c r="Q84" s="55"/>
      <c r="R84" s="187"/>
      <c r="S84" s="115"/>
      <c r="AF84" s="20"/>
      <c r="AG84" s="117"/>
      <c r="AH84" s="117"/>
      <c r="AI84" s="20"/>
      <c r="AJ84" s="99">
        <f t="shared" si="12"/>
        <v>0</v>
      </c>
      <c r="AK84" s="117">
        <f t="shared" si="6"/>
        <v>0</v>
      </c>
      <c r="AL84" s="20"/>
      <c r="AX84" t="s">
        <v>25</v>
      </c>
    </row>
    <row r="85" spans="11:50">
      <c r="O85" s="115"/>
      <c r="Q85" s="122"/>
      <c r="R85" s="115"/>
      <c r="S85" s="115"/>
      <c r="AF85" s="20" t="s">
        <v>25</v>
      </c>
      <c r="AG85" s="117"/>
      <c r="AH85" s="117"/>
      <c r="AI85" s="20"/>
      <c r="AJ85" s="99">
        <f t="shared" si="12"/>
        <v>0</v>
      </c>
      <c r="AK85" s="117">
        <f t="shared" si="6"/>
        <v>0</v>
      </c>
      <c r="AL85" s="20"/>
      <c r="AT85" t="s">
        <v>25</v>
      </c>
    </row>
    <row r="86" spans="11:50">
      <c r="O86" s="115"/>
      <c r="AF86" s="20"/>
      <c r="AG86" s="117"/>
      <c r="AH86" s="117"/>
      <c r="AI86" s="20"/>
      <c r="AJ86" s="99">
        <f t="shared" si="12"/>
        <v>0</v>
      </c>
      <c r="AK86" s="117">
        <f t="shared" si="6"/>
        <v>0</v>
      </c>
      <c r="AL86" s="20"/>
    </row>
    <row r="87" spans="11:50">
      <c r="AF87" s="99"/>
      <c r="AG87" s="113"/>
      <c r="AH87" s="113"/>
      <c r="AI87" s="99"/>
      <c r="AJ87" s="99">
        <f t="shared" si="12"/>
        <v>0</v>
      </c>
      <c r="AK87" s="117">
        <f t="shared" si="6"/>
        <v>0</v>
      </c>
      <c r="AL87" s="99"/>
      <c r="AS87" s="96" t="s">
        <v>25</v>
      </c>
    </row>
    <row r="88" spans="11:50">
      <c r="Q88" s="22"/>
      <c r="AF88" s="99"/>
      <c r="AG88" s="113"/>
      <c r="AH88" s="113"/>
      <c r="AI88" s="99"/>
      <c r="AJ88" s="99">
        <f t="shared" si="12"/>
        <v>0</v>
      </c>
      <c r="AK88" s="117">
        <f t="shared" si="6"/>
        <v>0</v>
      </c>
      <c r="AL88" s="99"/>
      <c r="AS88" s="96" t="s">
        <v>25</v>
      </c>
    </row>
    <row r="89" spans="11:50">
      <c r="AF89" s="99"/>
      <c r="AG89" s="99"/>
      <c r="AH89" s="95">
        <f>SUM(AH20:AH87)</f>
        <v>198373899</v>
      </c>
      <c r="AI89" s="99"/>
      <c r="AJ89" s="99"/>
      <c r="AK89" s="95">
        <f>SUM(AK20:AK88)</f>
        <v>17279472721</v>
      </c>
      <c r="AL89" s="95">
        <f>AK89*AL92/31</f>
        <v>11148046.916774195</v>
      </c>
      <c r="AO89" t="s">
        <v>25</v>
      </c>
      <c r="AT89" t="s">
        <v>25</v>
      </c>
    </row>
    <row r="90" spans="11:50">
      <c r="K90" s="48" t="s">
        <v>788</v>
      </c>
      <c r="L90" s="48" t="s">
        <v>476</v>
      </c>
      <c r="AF90" s="99"/>
      <c r="AG90" s="99"/>
      <c r="AH90" s="99" t="s">
        <v>4064</v>
      </c>
      <c r="AI90" s="99"/>
      <c r="AJ90" s="99"/>
      <c r="AK90" s="99" t="s">
        <v>284</v>
      </c>
      <c r="AL90" s="99" t="s">
        <v>916</v>
      </c>
    </row>
    <row r="91" spans="11:50">
      <c r="K91" s="47">
        <v>700000</v>
      </c>
      <c r="L91" s="48" t="s">
        <v>1040</v>
      </c>
      <c r="AF91" s="99"/>
      <c r="AG91" s="99"/>
      <c r="AH91" s="99"/>
      <c r="AI91" s="99"/>
      <c r="AJ91" s="99"/>
      <c r="AK91" s="99"/>
      <c r="AL91" s="99"/>
      <c r="AR91" s="96" t="s">
        <v>25</v>
      </c>
    </row>
    <row r="92" spans="11:50">
      <c r="K92" s="47">
        <v>500000</v>
      </c>
      <c r="L92" s="48" t="s">
        <v>479</v>
      </c>
      <c r="AF92" s="99"/>
      <c r="AG92" s="99"/>
      <c r="AH92" s="99"/>
      <c r="AI92" s="99"/>
      <c r="AJ92" s="99"/>
      <c r="AK92" s="99" t="s">
        <v>4065</v>
      </c>
      <c r="AL92" s="99">
        <v>0.02</v>
      </c>
    </row>
    <row r="93" spans="11:50">
      <c r="K93" s="47">
        <v>180000</v>
      </c>
      <c r="L93" s="48" t="s">
        <v>558</v>
      </c>
      <c r="AF93" s="99"/>
      <c r="AG93" s="99"/>
      <c r="AH93" s="99"/>
      <c r="AI93" s="99"/>
      <c r="AJ93" s="99"/>
      <c r="AK93" s="99"/>
      <c r="AL93" s="99"/>
    </row>
    <row r="94" spans="11:50">
      <c r="K94" s="47">
        <v>0</v>
      </c>
      <c r="L94" s="48" t="s">
        <v>784</v>
      </c>
      <c r="AF94" s="99"/>
      <c r="AG94" s="99" t="s">
        <v>4066</v>
      </c>
      <c r="AH94" s="95">
        <f>AH89+AL89</f>
        <v>209521945.91677418</v>
      </c>
      <c r="AI94" s="99"/>
      <c r="AJ94" s="99"/>
      <c r="AK94" s="99"/>
      <c r="AL94" s="99"/>
    </row>
    <row r="95" spans="11:50">
      <c r="K95" s="47">
        <v>0</v>
      </c>
      <c r="L95" s="48" t="s">
        <v>785</v>
      </c>
      <c r="AG95" t="s">
        <v>4069</v>
      </c>
      <c r="AH95" s="114">
        <f>SUM(N38:N45)</f>
        <v>252512827.80000001</v>
      </c>
    </row>
    <row r="96" spans="11:50">
      <c r="K96" s="47">
        <v>500000</v>
      </c>
      <c r="L96" s="48" t="s">
        <v>786</v>
      </c>
      <c r="AG96" t="s">
        <v>4143</v>
      </c>
      <c r="AH96" s="114">
        <f>AH95-AH89</f>
        <v>54138928.800000012</v>
      </c>
    </row>
    <row r="97" spans="8:38">
      <c r="K97" s="47">
        <v>75000</v>
      </c>
      <c r="L97" s="48" t="s">
        <v>787</v>
      </c>
      <c r="AG97" t="s">
        <v>944</v>
      </c>
      <c r="AH97" s="114">
        <f>AL89</f>
        <v>11148046.916774195</v>
      </c>
    </row>
    <row r="98" spans="8:38">
      <c r="H98" s="96"/>
      <c r="K98" s="47">
        <v>0</v>
      </c>
      <c r="L98" s="48" t="s">
        <v>789</v>
      </c>
      <c r="AG98" t="s">
        <v>4070</v>
      </c>
      <c r="AH98" s="114">
        <f>AH95-AH94</f>
        <v>42990881.883225828</v>
      </c>
    </row>
    <row r="99" spans="8:38">
      <c r="K99" s="47">
        <v>500000</v>
      </c>
      <c r="L99" s="48" t="s">
        <v>564</v>
      </c>
    </row>
    <row r="100" spans="8:38">
      <c r="K100" s="47">
        <v>50000</v>
      </c>
      <c r="L100" s="48" t="s">
        <v>792</v>
      </c>
      <c r="AH100" t="s">
        <v>25</v>
      </c>
    </row>
    <row r="101" spans="8:38">
      <c r="K101" s="47">
        <v>140000</v>
      </c>
      <c r="L101" s="48" t="s">
        <v>314</v>
      </c>
    </row>
    <row r="102" spans="8:38">
      <c r="K102" s="47"/>
      <c r="L102" s="48" t="s">
        <v>25</v>
      </c>
    </row>
    <row r="103" spans="8:38">
      <c r="K103" s="47">
        <f>SUM(K91:K102)</f>
        <v>2645000</v>
      </c>
      <c r="L103" s="48" t="s">
        <v>6</v>
      </c>
    </row>
    <row r="105" spans="8:38">
      <c r="AF105" s="99" t="s">
        <v>3644</v>
      </c>
      <c r="AG105" s="99" t="s">
        <v>180</v>
      </c>
      <c r="AH105" s="99" t="s">
        <v>267</v>
      </c>
      <c r="AI105" s="99" t="s">
        <v>4063</v>
      </c>
      <c r="AJ105" s="99" t="s">
        <v>4055</v>
      </c>
      <c r="AK105" s="99" t="s">
        <v>282</v>
      </c>
      <c r="AL105" s="99" t="s">
        <v>4333</v>
      </c>
    </row>
    <row r="106" spans="8:38">
      <c r="AF106" s="99">
        <v>1</v>
      </c>
      <c r="AG106" s="99" t="s">
        <v>3954</v>
      </c>
      <c r="AH106" s="117">
        <v>3555820</v>
      </c>
      <c r="AI106" s="99">
        <v>2</v>
      </c>
      <c r="AJ106" s="99">
        <f>AI106+AJ107</f>
        <v>110</v>
      </c>
      <c r="AK106" s="99">
        <f>AH106*AJ106</f>
        <v>391140200</v>
      </c>
      <c r="AL106" s="99" t="s">
        <v>4365</v>
      </c>
    </row>
    <row r="107" spans="8:38">
      <c r="AF107" s="99">
        <v>2</v>
      </c>
      <c r="AG107" s="99" t="s">
        <v>4029</v>
      </c>
      <c r="AH107" s="117">
        <v>1720837</v>
      </c>
      <c r="AI107" s="99">
        <v>51</v>
      </c>
      <c r="AJ107" s="99">
        <f t="shared" ref="AJ107:AJ120" si="13">AI107+AJ108</f>
        <v>108</v>
      </c>
      <c r="AK107" s="99">
        <f t="shared" ref="AK107:AK119" si="14">AH107*AJ107</f>
        <v>185850396</v>
      </c>
      <c r="AL107" s="99" t="s">
        <v>4366</v>
      </c>
    </row>
    <row r="108" spans="8:38">
      <c r="AF108" s="99">
        <v>3</v>
      </c>
      <c r="AG108" s="99" t="s">
        <v>4137</v>
      </c>
      <c r="AH108" s="117">
        <v>150000</v>
      </c>
      <c r="AI108" s="99">
        <v>3</v>
      </c>
      <c r="AJ108" s="99">
        <f t="shared" si="13"/>
        <v>57</v>
      </c>
      <c r="AK108" s="99">
        <f t="shared" si="14"/>
        <v>8550000</v>
      </c>
      <c r="AL108" s="99"/>
    </row>
    <row r="109" spans="8:38">
      <c r="AF109" s="99">
        <v>4</v>
      </c>
      <c r="AG109" s="99" t="s">
        <v>4152</v>
      </c>
      <c r="AH109" s="117">
        <v>-95000</v>
      </c>
      <c r="AI109" s="99">
        <v>8</v>
      </c>
      <c r="AJ109" s="99">
        <f t="shared" si="13"/>
        <v>54</v>
      </c>
      <c r="AK109" s="99">
        <f t="shared" si="14"/>
        <v>-5130000</v>
      </c>
      <c r="AL109" s="99"/>
    </row>
    <row r="110" spans="8:38">
      <c r="AF110" s="99">
        <v>5</v>
      </c>
      <c r="AG110" s="99" t="s">
        <v>4181</v>
      </c>
      <c r="AH110" s="117">
        <v>3150000</v>
      </c>
      <c r="AI110" s="99">
        <v>16</v>
      </c>
      <c r="AJ110" s="99">
        <f t="shared" si="13"/>
        <v>46</v>
      </c>
      <c r="AK110" s="99">
        <f t="shared" si="14"/>
        <v>144900000</v>
      </c>
      <c r="AL110" s="99"/>
    </row>
    <row r="111" spans="8:38">
      <c r="AF111" s="99">
        <v>6</v>
      </c>
      <c r="AG111" s="99" t="s">
        <v>4250</v>
      </c>
      <c r="AH111" s="117">
        <v>-65000</v>
      </c>
      <c r="AI111" s="99">
        <v>1</v>
      </c>
      <c r="AJ111" s="99">
        <f t="shared" si="13"/>
        <v>30</v>
      </c>
      <c r="AK111" s="99">
        <f t="shared" si="14"/>
        <v>-1950000</v>
      </c>
      <c r="AL111" s="99"/>
    </row>
    <row r="112" spans="8:38">
      <c r="AF112" s="99">
        <v>7</v>
      </c>
      <c r="AG112" s="99" t="s">
        <v>4367</v>
      </c>
      <c r="AH112" s="117">
        <v>-95000</v>
      </c>
      <c r="AI112" s="99">
        <v>6</v>
      </c>
      <c r="AJ112" s="99">
        <f t="shared" si="13"/>
        <v>29</v>
      </c>
      <c r="AK112" s="99">
        <f t="shared" si="14"/>
        <v>-2755000</v>
      </c>
      <c r="AL112" s="99"/>
    </row>
    <row r="113" spans="32:38">
      <c r="AF113" s="99">
        <v>8</v>
      </c>
      <c r="AG113" s="99" t="s">
        <v>4368</v>
      </c>
      <c r="AH113" s="117">
        <v>232000</v>
      </c>
      <c r="AI113" s="99">
        <v>7</v>
      </c>
      <c r="AJ113" s="99">
        <f t="shared" si="13"/>
        <v>23</v>
      </c>
      <c r="AK113" s="99">
        <f t="shared" si="14"/>
        <v>5336000</v>
      </c>
      <c r="AL113" s="99"/>
    </row>
    <row r="114" spans="32:38">
      <c r="AF114" s="99">
        <v>9</v>
      </c>
      <c r="AG114" s="99" t="s">
        <v>4331</v>
      </c>
      <c r="AH114" s="117">
        <v>13000000</v>
      </c>
      <c r="AI114" s="99">
        <v>2</v>
      </c>
      <c r="AJ114" s="99">
        <f t="shared" si="13"/>
        <v>16</v>
      </c>
      <c r="AK114" s="99">
        <f t="shared" si="14"/>
        <v>208000000</v>
      </c>
      <c r="AL114" s="99"/>
    </row>
    <row r="115" spans="32:38">
      <c r="AF115" s="99">
        <v>10</v>
      </c>
      <c r="AG115" s="99" t="s">
        <v>4369</v>
      </c>
      <c r="AH115" s="117">
        <v>10000000</v>
      </c>
      <c r="AI115" s="99">
        <v>3</v>
      </c>
      <c r="AJ115" s="99">
        <f t="shared" si="13"/>
        <v>14</v>
      </c>
      <c r="AK115" s="99">
        <f t="shared" si="14"/>
        <v>140000000</v>
      </c>
      <c r="AL115" s="99"/>
    </row>
    <row r="116" spans="32:38">
      <c r="AF116" s="99">
        <v>11</v>
      </c>
      <c r="AG116" s="99" t="s">
        <v>4348</v>
      </c>
      <c r="AH116" s="117">
        <v>3400000</v>
      </c>
      <c r="AI116" s="99">
        <v>9</v>
      </c>
      <c r="AJ116" s="99">
        <f t="shared" si="13"/>
        <v>11</v>
      </c>
      <c r="AK116" s="99">
        <f t="shared" si="14"/>
        <v>37400000</v>
      </c>
      <c r="AL116" s="99"/>
    </row>
    <row r="117" spans="32:38">
      <c r="AF117" s="99">
        <v>12</v>
      </c>
      <c r="AG117" s="99" t="s">
        <v>4405</v>
      </c>
      <c r="AH117" s="117">
        <v>-8736514</v>
      </c>
      <c r="AI117" s="99">
        <v>1</v>
      </c>
      <c r="AJ117" s="99">
        <f t="shared" si="13"/>
        <v>2</v>
      </c>
      <c r="AK117" s="99">
        <f t="shared" si="14"/>
        <v>-17473028</v>
      </c>
      <c r="AL117" s="99"/>
    </row>
    <row r="118" spans="32:38">
      <c r="AF118" s="99">
        <v>13</v>
      </c>
      <c r="AG118" s="99" t="s">
        <v>4406</v>
      </c>
      <c r="AH118" s="117">
        <v>555000</v>
      </c>
      <c r="AI118" s="99">
        <v>1</v>
      </c>
      <c r="AJ118" s="99">
        <f t="shared" si="13"/>
        <v>1</v>
      </c>
      <c r="AK118" s="99">
        <f t="shared" si="14"/>
        <v>555000</v>
      </c>
      <c r="AL118" s="99"/>
    </row>
    <row r="119" spans="32:38">
      <c r="AF119" s="99">
        <v>14</v>
      </c>
      <c r="AG119" s="99"/>
      <c r="AH119" s="99"/>
      <c r="AI119" s="99"/>
      <c r="AJ119" s="99">
        <f t="shared" si="13"/>
        <v>0</v>
      </c>
      <c r="AK119" s="99">
        <f t="shared" si="14"/>
        <v>0</v>
      </c>
      <c r="AL119" s="99"/>
    </row>
    <row r="120" spans="32:38">
      <c r="AF120" s="99">
        <v>15</v>
      </c>
      <c r="AG120" s="99"/>
      <c r="AH120" s="99"/>
      <c r="AI120" s="99"/>
      <c r="AJ120" s="99">
        <f t="shared" si="13"/>
        <v>0</v>
      </c>
      <c r="AK120" s="99"/>
      <c r="AL120" s="99"/>
    </row>
    <row r="121" spans="32:38">
      <c r="AF121" s="99"/>
      <c r="AG121" s="99"/>
      <c r="AH121" s="99"/>
      <c r="AI121" s="99"/>
      <c r="AJ121" s="99"/>
      <c r="AK121" s="99"/>
      <c r="AL121" s="99"/>
    </row>
    <row r="122" spans="32:38">
      <c r="AF122" s="99"/>
      <c r="AG122" s="99"/>
      <c r="AH122" s="95">
        <f>SUM(AH106:AH121)</f>
        <v>26772143</v>
      </c>
      <c r="AI122" s="99"/>
      <c r="AJ122" s="99"/>
      <c r="AK122" s="99">
        <f>SUM(AK106:AK121)</f>
        <v>1094423568</v>
      </c>
      <c r="AL122" s="95">
        <f>AK122*AL92/31</f>
        <v>706079.7212903226</v>
      </c>
    </row>
    <row r="123" spans="32:38">
      <c r="AH123" t="s">
        <v>4064</v>
      </c>
      <c r="AK123" t="s">
        <v>284</v>
      </c>
      <c r="AL123" t="s">
        <v>916</v>
      </c>
    </row>
    <row r="125" spans="32:38">
      <c r="AG125" t="s">
        <v>4066</v>
      </c>
      <c r="AH125" s="114">
        <f>AH122+AL122</f>
        <v>27478222.721290324</v>
      </c>
    </row>
    <row r="126" spans="32:38">
      <c r="AG126" t="s">
        <v>4069</v>
      </c>
      <c r="AH126" s="114">
        <f>SUM(N19:N23)</f>
        <v>28292277.500000004</v>
      </c>
    </row>
    <row r="127" spans="32:38">
      <c r="AG127" t="s">
        <v>4143</v>
      </c>
      <c r="AH127" s="114">
        <f>AH126-AH122</f>
        <v>1520134.5000000037</v>
      </c>
    </row>
    <row r="128" spans="32:38">
      <c r="AG128" t="s">
        <v>944</v>
      </c>
      <c r="AH128" s="114">
        <f>AL122</f>
        <v>706079.7212903226</v>
      </c>
    </row>
    <row r="129" spans="33:34">
      <c r="AG129" t="s">
        <v>4070</v>
      </c>
      <c r="AH129" s="114">
        <f>AH127-AH128</f>
        <v>814054.77870968112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AA26 S43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>
      <c r="A1" s="99" t="s">
        <v>3644</v>
      </c>
      <c r="B1" s="99" t="s">
        <v>4294</v>
      </c>
      <c r="C1" s="99" t="s">
        <v>4295</v>
      </c>
      <c r="D1" s="99" t="s">
        <v>4296</v>
      </c>
      <c r="E1" s="99" t="s">
        <v>4297</v>
      </c>
      <c r="F1" s="74" t="s">
        <v>4298</v>
      </c>
      <c r="M1" s="99" t="s">
        <v>950</v>
      </c>
      <c r="N1" s="99">
        <v>6.3E-3</v>
      </c>
    </row>
    <row r="2" spans="1:24">
      <c r="A2" s="99">
        <v>1</v>
      </c>
      <c r="B2" s="99">
        <v>100</v>
      </c>
      <c r="C2" s="99">
        <v>0</v>
      </c>
      <c r="D2" s="99">
        <v>1000000</v>
      </c>
      <c r="E2" s="170">
        <v>0</v>
      </c>
      <c r="F2" s="74">
        <v>0</v>
      </c>
      <c r="M2" s="99" t="s">
        <v>61</v>
      </c>
      <c r="N2" s="99">
        <v>4.8999999999999998E-3</v>
      </c>
    </row>
    <row r="3" spans="1:24">
      <c r="A3" s="99">
        <v>2</v>
      </c>
      <c r="B3" s="99">
        <v>102</v>
      </c>
      <c r="C3" s="99">
        <v>-20000</v>
      </c>
      <c r="D3" s="99">
        <f>D2+C3</f>
        <v>980000</v>
      </c>
      <c r="E3" s="170">
        <f>-B3*C3*(1-IF(C3&lt;0,$N$1,$N$2))</f>
        <v>2027148</v>
      </c>
      <c r="F3" s="170">
        <f>ABS(B3*C3*IF(C3&lt;0,$N$1,$N$2))</f>
        <v>12852</v>
      </c>
      <c r="M3" s="99" t="s">
        <v>6</v>
      </c>
      <c r="N3" s="99">
        <f>N1+N2</f>
        <v>1.12E-2</v>
      </c>
    </row>
    <row r="4" spans="1:24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0">
        <f t="shared" ref="E4:E24" si="1">-B4*C4*(1-IF(C4&lt;0,$N$1,$N$2))</f>
        <v>2066896</v>
      </c>
      <c r="F4" s="170">
        <f t="shared" ref="F4:F24" si="2">ABS(B4*C4*IF(C4&lt;0,$N$1,$N$2))</f>
        <v>13104</v>
      </c>
    </row>
    <row r="5" spans="1:24">
      <c r="A5" s="99">
        <v>4</v>
      </c>
      <c r="B5" s="99">
        <v>102</v>
      </c>
      <c r="C5" s="99">
        <v>20000</v>
      </c>
      <c r="D5" s="99">
        <f t="shared" si="0"/>
        <v>980000</v>
      </c>
      <c r="E5" s="170">
        <f t="shared" si="1"/>
        <v>-2030004</v>
      </c>
      <c r="F5" s="170">
        <f t="shared" si="2"/>
        <v>9996</v>
      </c>
    </row>
    <row r="6" spans="1:24">
      <c r="A6" s="99">
        <v>5</v>
      </c>
      <c r="B6" s="99">
        <v>100</v>
      </c>
      <c r="C6" s="99">
        <v>20000</v>
      </c>
      <c r="D6" s="99">
        <f t="shared" si="0"/>
        <v>1000000</v>
      </c>
      <c r="E6" s="170">
        <f t="shared" si="1"/>
        <v>-1990200</v>
      </c>
      <c r="F6" s="170">
        <f t="shared" si="2"/>
        <v>9800</v>
      </c>
    </row>
    <row r="7" spans="1:24">
      <c r="A7" s="99">
        <v>6</v>
      </c>
      <c r="B7" s="99">
        <v>98</v>
      </c>
      <c r="C7" s="99">
        <v>20000</v>
      </c>
      <c r="D7" s="99">
        <f t="shared" si="0"/>
        <v>1020000</v>
      </c>
      <c r="E7" s="170">
        <f t="shared" si="1"/>
        <v>-1950396</v>
      </c>
      <c r="F7" s="170">
        <f t="shared" si="2"/>
        <v>9604</v>
      </c>
    </row>
    <row r="8" spans="1:24">
      <c r="A8" s="99">
        <v>7</v>
      </c>
      <c r="B8" s="99">
        <v>96</v>
      </c>
      <c r="C8" s="99">
        <v>20000</v>
      </c>
      <c r="D8" s="99">
        <f t="shared" si="0"/>
        <v>1040000</v>
      </c>
      <c r="E8" s="170">
        <f t="shared" si="1"/>
        <v>-1910592</v>
      </c>
      <c r="F8" s="170">
        <f t="shared" si="2"/>
        <v>9408</v>
      </c>
    </row>
    <row r="9" spans="1:24">
      <c r="A9" s="99">
        <v>8</v>
      </c>
      <c r="B9" s="99">
        <v>98</v>
      </c>
      <c r="C9" s="99">
        <v>-20000</v>
      </c>
      <c r="D9" s="99">
        <f t="shared" si="0"/>
        <v>1020000</v>
      </c>
      <c r="E9" s="170">
        <f t="shared" si="1"/>
        <v>1947652</v>
      </c>
      <c r="F9" s="170">
        <f t="shared" si="2"/>
        <v>12348</v>
      </c>
    </row>
    <row r="10" spans="1:24">
      <c r="A10" s="99">
        <v>9</v>
      </c>
      <c r="B10" s="99">
        <v>96</v>
      </c>
      <c r="C10" s="99">
        <v>20000</v>
      </c>
      <c r="D10" s="99">
        <f t="shared" si="0"/>
        <v>1040000</v>
      </c>
      <c r="E10" s="170">
        <f t="shared" si="1"/>
        <v>-1910592</v>
      </c>
      <c r="F10" s="170">
        <f t="shared" si="2"/>
        <v>9408</v>
      </c>
      <c r="S10" s="96"/>
      <c r="T10" s="96"/>
      <c r="U10" s="96" t="s">
        <v>4310</v>
      </c>
      <c r="V10" s="96" t="s">
        <v>4312</v>
      </c>
      <c r="W10" t="s">
        <v>4306</v>
      </c>
      <c r="X10" t="s">
        <v>4308</v>
      </c>
    </row>
    <row r="11" spans="1:24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0">
        <f t="shared" si="1"/>
        <v>1947652</v>
      </c>
      <c r="F11" s="170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0">
        <f t="shared" si="1"/>
        <v>1987400</v>
      </c>
      <c r="F12" s="170">
        <f t="shared" si="2"/>
        <v>12600</v>
      </c>
      <c r="S12" s="96"/>
      <c r="T12" s="96"/>
      <c r="U12" s="96"/>
      <c r="V12" s="96"/>
    </row>
    <row r="13" spans="1:24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0">
        <f t="shared" si="1"/>
        <v>2027148</v>
      </c>
      <c r="F13" s="170">
        <f t="shared" si="2"/>
        <v>12852</v>
      </c>
      <c r="O13" s="99" t="s">
        <v>446</v>
      </c>
      <c r="P13" s="99" t="s">
        <v>4309</v>
      </c>
      <c r="Q13" s="99" t="s">
        <v>4310</v>
      </c>
      <c r="R13" s="99" t="s">
        <v>4311</v>
      </c>
      <c r="S13" s="99" t="s">
        <v>4305</v>
      </c>
      <c r="T13" s="99" t="s">
        <v>4307</v>
      </c>
      <c r="U13" s="69" t="s">
        <v>4306</v>
      </c>
      <c r="V13" s="69" t="s">
        <v>4308</v>
      </c>
    </row>
    <row r="14" spans="1:24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0">
        <f t="shared" si="1"/>
        <v>2066896</v>
      </c>
      <c r="F14" s="170">
        <f t="shared" si="2"/>
        <v>13104</v>
      </c>
      <c r="O14" s="99">
        <v>0</v>
      </c>
      <c r="P14" s="95">
        <v>1000000</v>
      </c>
      <c r="Q14" s="95">
        <v>0</v>
      </c>
      <c r="R14" s="170">
        <v>800000</v>
      </c>
      <c r="S14" s="170">
        <v>0</v>
      </c>
      <c r="T14" s="170">
        <v>800000</v>
      </c>
      <c r="U14" s="69">
        <v>0</v>
      </c>
      <c r="V14" s="170">
        <v>0</v>
      </c>
    </row>
    <row r="15" spans="1:24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0">
        <f t="shared" si="1"/>
        <v>-2030004</v>
      </c>
      <c r="F15" s="170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0">
        <f>R14*$V$11/1200</f>
        <v>13333.333333333334</v>
      </c>
      <c r="T15" s="95">
        <f>T14-U15-V15</f>
        <v>730500</v>
      </c>
      <c r="U15" s="170">
        <f>T14*$W$11/1200</f>
        <v>6000</v>
      </c>
      <c r="V15" s="170">
        <f t="shared" ref="V15:V26" si="3">$X$11</f>
        <v>63500</v>
      </c>
    </row>
    <row r="16" spans="1:24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0">
        <f t="shared" si="1"/>
        <v>-1990200</v>
      </c>
      <c r="F16" s="170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0">
        <f t="shared" ref="S16:S26" si="7">R15*$V$11/1200</f>
        <v>12497.222222222223</v>
      </c>
      <c r="T16" s="95">
        <f>T15-U16-V16</f>
        <v>661521.25</v>
      </c>
      <c r="U16" s="170">
        <f t="shared" ref="U16:U26" si="8">T15*$W$11/1200</f>
        <v>5478.75</v>
      </c>
      <c r="V16" s="170">
        <f t="shared" si="3"/>
        <v>63500</v>
      </c>
    </row>
    <row r="17" spans="1:22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0">
        <f t="shared" si="1"/>
        <v>2027148</v>
      </c>
      <c r="F17" s="170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0">
        <f t="shared" si="7"/>
        <v>11647.175925925927</v>
      </c>
      <c r="T17" s="95">
        <f t="shared" ref="T17:T26" si="9">T16-U17-V17</f>
        <v>593059.84062499995</v>
      </c>
      <c r="U17" s="170">
        <f t="shared" si="8"/>
        <v>4961.4093750000002</v>
      </c>
      <c r="V17" s="170">
        <f t="shared" si="3"/>
        <v>63500</v>
      </c>
    </row>
    <row r="18" spans="1:22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0">
        <f t="shared" si="1"/>
        <v>2066896</v>
      </c>
      <c r="F18" s="170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0">
        <f t="shared" si="7"/>
        <v>10782.962191358025</v>
      </c>
      <c r="T18" s="95">
        <f t="shared" si="9"/>
        <v>525111.89182031248</v>
      </c>
      <c r="U18" s="170">
        <f t="shared" si="8"/>
        <v>4447.9488046874994</v>
      </c>
      <c r="V18" s="170">
        <f t="shared" si="3"/>
        <v>63500</v>
      </c>
    </row>
    <row r="19" spans="1:22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0">
        <f t="shared" si="1"/>
        <v>2106644</v>
      </c>
      <c r="F19" s="170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0">
        <f t="shared" si="7"/>
        <v>9904.3448945473265</v>
      </c>
      <c r="T19" s="95">
        <f t="shared" si="9"/>
        <v>457673.55263166013</v>
      </c>
      <c r="U19" s="170">
        <f t="shared" si="8"/>
        <v>3938.3391886523436</v>
      </c>
      <c r="V19" s="170">
        <f t="shared" si="3"/>
        <v>63500</v>
      </c>
    </row>
    <row r="20" spans="1:22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0">
        <f t="shared" si="1"/>
        <v>2146392</v>
      </c>
      <c r="F20" s="170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0">
        <f t="shared" si="7"/>
        <v>9011.0839761231164</v>
      </c>
      <c r="T20" s="95">
        <f t="shared" si="9"/>
        <v>390741.00098692271</v>
      </c>
      <c r="U20" s="170">
        <f t="shared" si="8"/>
        <v>3432.5516447374512</v>
      </c>
      <c r="V20" s="170">
        <f t="shared" si="3"/>
        <v>63500</v>
      </c>
    </row>
    <row r="21" spans="1:22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0">
        <f t="shared" si="1"/>
        <v>-2109612</v>
      </c>
      <c r="F21" s="170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0">
        <f t="shared" si="7"/>
        <v>8102.9353757251674</v>
      </c>
      <c r="T21" s="95">
        <f t="shared" si="9"/>
        <v>324310.44347952079</v>
      </c>
      <c r="U21" s="170">
        <f t="shared" si="8"/>
        <v>2930.5575074019202</v>
      </c>
      <c r="V21" s="170">
        <f t="shared" si="3"/>
        <v>63500</v>
      </c>
    </row>
    <row r="22" spans="1:22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0">
        <f t="shared" si="1"/>
        <v>-2069808</v>
      </c>
      <c r="F22" s="170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0">
        <f t="shared" si="7"/>
        <v>7179.6509653205858</v>
      </c>
      <c r="T22" s="95">
        <f t="shared" si="9"/>
        <v>258378.11515342438</v>
      </c>
      <c r="U22" s="170">
        <f t="shared" si="8"/>
        <v>2432.3283260964058</v>
      </c>
      <c r="V22" s="170">
        <f t="shared" si="3"/>
        <v>63500</v>
      </c>
    </row>
    <row r="23" spans="1:22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0">
        <f t="shared" si="1"/>
        <v>-2030004</v>
      </c>
      <c r="F23" s="170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0">
        <f t="shared" si="7"/>
        <v>6240.9784814092636</v>
      </c>
      <c r="T23" s="95">
        <f t="shared" si="9"/>
        <v>192940.27928977369</v>
      </c>
      <c r="U23" s="170">
        <f t="shared" si="8"/>
        <v>1937.835863650683</v>
      </c>
      <c r="V23" s="170">
        <f t="shared" si="3"/>
        <v>63500</v>
      </c>
    </row>
    <row r="24" spans="1:22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0">
        <f t="shared" si="1"/>
        <v>-1990200</v>
      </c>
      <c r="F24" s="170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0">
        <f t="shared" si="7"/>
        <v>5286.6614560994176</v>
      </c>
      <c r="T24" s="95">
        <f t="shared" si="9"/>
        <v>127993.22719510039</v>
      </c>
      <c r="U24" s="170">
        <f t="shared" si="8"/>
        <v>1447.0520946733027</v>
      </c>
      <c r="V24" s="170">
        <f t="shared" si="3"/>
        <v>63500</v>
      </c>
    </row>
    <row r="25" spans="1:22">
      <c r="A25" s="99">
        <v>24</v>
      </c>
      <c r="B25" s="99"/>
      <c r="C25" s="99"/>
      <c r="D25" s="99"/>
      <c r="E25" s="170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0">
        <f t="shared" si="7"/>
        <v>4316.4391470344081</v>
      </c>
      <c r="T25" s="95">
        <f t="shared" si="9"/>
        <v>63533.277991137147</v>
      </c>
      <c r="U25" s="170">
        <f t="shared" si="8"/>
        <v>959.9492039632529</v>
      </c>
      <c r="V25" s="170">
        <f t="shared" si="3"/>
        <v>63500</v>
      </c>
    </row>
    <row r="26" spans="1:22">
      <c r="A26" s="99">
        <v>25</v>
      </c>
      <c r="B26" s="99"/>
      <c r="C26" s="99"/>
      <c r="D26" s="99"/>
      <c r="E26" s="170">
        <f>SUM(E2:E24)</f>
        <v>406260</v>
      </c>
      <c r="F26" s="170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0">
        <f t="shared" si="7"/>
        <v>3330.046466151648</v>
      </c>
      <c r="T26" s="95">
        <f t="shared" si="9"/>
        <v>-443.2215937963847</v>
      </c>
      <c r="U26" s="170">
        <f t="shared" si="8"/>
        <v>476.49958493352858</v>
      </c>
      <c r="V26" s="170">
        <f t="shared" si="3"/>
        <v>63500</v>
      </c>
    </row>
    <row r="27" spans="1:22">
      <c r="A27" s="99">
        <v>26</v>
      </c>
      <c r="B27" s="99"/>
      <c r="C27" s="99"/>
      <c r="D27" s="99"/>
      <c r="E27" s="99" t="s">
        <v>4299</v>
      </c>
      <c r="F27" s="99" t="s">
        <v>4300</v>
      </c>
      <c r="O27" s="99"/>
      <c r="P27" s="99"/>
      <c r="Q27" s="99"/>
      <c r="R27" s="99"/>
      <c r="S27" s="99"/>
      <c r="T27" s="99"/>
      <c r="U27" s="99"/>
      <c r="V27" s="99"/>
    </row>
    <row r="28" spans="1:22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>
      <c r="A30" s="96"/>
      <c r="B30" s="96"/>
      <c r="C30" s="96"/>
      <c r="D30" s="96"/>
      <c r="E30" s="96"/>
      <c r="F30" s="96"/>
    </row>
    <row r="31" spans="1:22">
      <c r="A31" s="96"/>
      <c r="B31" s="96"/>
      <c r="C31" s="96"/>
      <c r="D31" s="96"/>
      <c r="E31" s="96"/>
      <c r="F31" s="96"/>
    </row>
    <row r="32" spans="1:22">
      <c r="A32" s="96"/>
      <c r="B32" s="96"/>
      <c r="C32" s="96"/>
      <c r="D32" s="96"/>
      <c r="E32" s="96"/>
      <c r="F32" s="96"/>
    </row>
    <row r="33" spans="1:18">
      <c r="A33" s="96"/>
      <c r="B33" s="96"/>
      <c r="C33" s="96"/>
      <c r="D33" s="96"/>
      <c r="E33" s="96"/>
      <c r="F33" s="96"/>
      <c r="R33" t="s">
        <v>25</v>
      </c>
    </row>
    <row r="34" spans="1:18">
      <c r="A34" s="96"/>
      <c r="B34" s="96"/>
      <c r="C34" s="96"/>
      <c r="D34" s="96"/>
      <c r="E34" s="96"/>
      <c r="F34" s="96"/>
    </row>
    <row r="35" spans="1:18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78000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43000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58000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12000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13000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2400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24000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25000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18500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53000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18000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12000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27000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16000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14000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12000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243000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4321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4291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4313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4320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4324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8" t="s">
        <v>4231</v>
      </c>
      <c r="B3" s="189">
        <f>$S3/(1+($B$1-$O3+$P3)/36500)^$N3</f>
        <v>97098.721940649513</v>
      </c>
      <c r="C3" s="189">
        <f t="shared" si="0"/>
        <v>97557.073321153264</v>
      </c>
      <c r="D3" s="189">
        <f t="shared" ref="D3:D38" si="5">$S3/(1+($D$1-$O3+$P3)/36500)^$N3</f>
        <v>97614.522705318159</v>
      </c>
      <c r="E3" s="189">
        <f t="shared" ref="E3:E38" si="6">$S3/(1+($E$1-$O3+$P3)/36500)^$N3</f>
        <v>97672.00670749729</v>
      </c>
      <c r="F3" s="189">
        <f t="shared" ref="F3:F38" si="7">$S3/(1+($F$1-$O3+$P3)/36500)^$N3</f>
        <v>97729.525349026546</v>
      </c>
      <c r="G3" s="189">
        <f t="shared" ref="G3:G38" si="8">$S3/(1+($G$1-$O3+$P3)/36500)^$N3</f>
        <v>97787.078651252508</v>
      </c>
      <c r="H3" s="189">
        <f t="shared" ref="H3:H38" si="9">$S3/(1+($H$1-$O3+$P3)/36500)^$N3</f>
        <v>97844.666635538088</v>
      </c>
      <c r="I3" s="189">
        <f t="shared" ref="I3:I38" si="10">$S3/(1+($I$1-$O3+$P3)/36500)^$N3</f>
        <v>97902.289323257239</v>
      </c>
      <c r="J3" s="189">
        <f t="shared" ref="J3:J38" si="11">$S3/(1+($J$1-$O3+$P3)/36500)^$N3</f>
        <v>97959.946735798527</v>
      </c>
      <c r="K3" s="189">
        <f t="shared" ref="K3:K38" si="12">$S3/(1+($K$1-$O3+$P3)/36500)^$N3</f>
        <v>98017.63889456552</v>
      </c>
      <c r="L3" s="189">
        <f t="shared" si="1"/>
        <v>97672.00670749729</v>
      </c>
      <c r="M3" s="188" t="s">
        <v>4240</v>
      </c>
      <c r="N3" s="188">
        <f>272-$AD$19</f>
        <v>43</v>
      </c>
      <c r="O3" s="188">
        <v>0</v>
      </c>
      <c r="P3" s="188">
        <v>0</v>
      </c>
      <c r="Q3" s="188">
        <v>0</v>
      </c>
      <c r="R3" s="188"/>
      <c r="S3" s="189">
        <v>100000</v>
      </c>
      <c r="T3" s="189"/>
      <c r="U3" s="189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8" t="s">
        <v>985</v>
      </c>
      <c r="B7" s="189">
        <f t="shared" si="14"/>
        <v>84846.428120270313</v>
      </c>
      <c r="C7" s="189">
        <f t="shared" si="0"/>
        <v>87106.168413409643</v>
      </c>
      <c r="D7" s="189">
        <f t="shared" si="5"/>
        <v>87392.852883421438</v>
      </c>
      <c r="E7" s="189">
        <f t="shared" si="6"/>
        <v>87680.484835890209</v>
      </c>
      <c r="F7" s="189">
        <f t="shared" si="7"/>
        <v>87969.067415256388</v>
      </c>
      <c r="G7" s="189">
        <f t="shared" si="8"/>
        <v>88258.603776425429</v>
      </c>
      <c r="H7" s="189">
        <f t="shared" si="9"/>
        <v>88549.097084830384</v>
      </c>
      <c r="I7" s="189">
        <f t="shared" si="10"/>
        <v>88840.550516442469</v>
      </c>
      <c r="J7" s="189">
        <f t="shared" si="11"/>
        <v>89132.967257821831</v>
      </c>
      <c r="K7" s="189">
        <f t="shared" si="12"/>
        <v>89426.35050615661</v>
      </c>
      <c r="L7" s="189">
        <f t="shared" si="1"/>
        <v>87680.484835890209</v>
      </c>
      <c r="M7" s="188" t="s">
        <v>994</v>
      </c>
      <c r="N7" s="188">
        <f>469-$AD$19</f>
        <v>240</v>
      </c>
      <c r="O7" s="188">
        <v>0</v>
      </c>
      <c r="P7" s="188">
        <v>0</v>
      </c>
      <c r="Q7" s="188">
        <v>0</v>
      </c>
      <c r="R7" s="188">
        <f t="shared" si="2"/>
        <v>7.8688524590163933</v>
      </c>
      <c r="S7" s="189">
        <v>100000</v>
      </c>
      <c r="T7" s="189">
        <v>77700</v>
      </c>
      <c r="U7" s="189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8" t="s">
        <v>987</v>
      </c>
      <c r="B10" s="189">
        <f t="shared" si="14"/>
        <v>73181.915318684158</v>
      </c>
      <c r="C10" s="189">
        <f t="shared" si="0"/>
        <v>76929.503612245229</v>
      </c>
      <c r="D10" s="189">
        <f t="shared" si="5"/>
        <v>77411.278823630317</v>
      </c>
      <c r="E10" s="189">
        <f t="shared" si="6"/>
        <v>77896.077836591649</v>
      </c>
      <c r="F10" s="189">
        <f t="shared" si="7"/>
        <v>78383.919671440424</v>
      </c>
      <c r="G10" s="189">
        <f t="shared" si="8"/>
        <v>78874.82346836901</v>
      </c>
      <c r="H10" s="189">
        <f t="shared" si="9"/>
        <v>79368.808488254756</v>
      </c>
      <c r="I10" s="189">
        <f t="shared" si="10"/>
        <v>79865.894113380797</v>
      </c>
      <c r="J10" s="189">
        <f t="shared" si="11"/>
        <v>80366.099848229351</v>
      </c>
      <c r="K10" s="189">
        <f t="shared" si="12"/>
        <v>80869.445320260129</v>
      </c>
      <c r="L10" s="189">
        <f t="shared" si="1"/>
        <v>77896.077836591649</v>
      </c>
      <c r="M10" s="188" t="s">
        <v>999</v>
      </c>
      <c r="N10" s="188">
        <f>685-$AD$19</f>
        <v>456</v>
      </c>
      <c r="O10" s="188">
        <v>0</v>
      </c>
      <c r="P10" s="188">
        <v>0</v>
      </c>
      <c r="Q10" s="188">
        <v>0</v>
      </c>
      <c r="R10" s="188">
        <f t="shared" si="2"/>
        <v>14.950819672131148</v>
      </c>
      <c r="S10" s="189">
        <v>100000</v>
      </c>
      <c r="T10" s="189">
        <v>70000</v>
      </c>
      <c r="U10" s="189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8" t="s">
        <v>990</v>
      </c>
      <c r="B13" s="189">
        <f t="shared" si="14"/>
        <v>77514.334768791377</v>
      </c>
      <c r="C13" s="189">
        <f t="shared" si="0"/>
        <v>80737.595535844011</v>
      </c>
      <c r="D13" s="189">
        <f t="shared" si="5"/>
        <v>81149.84060249904</v>
      </c>
      <c r="E13" s="189">
        <f t="shared" si="6"/>
        <v>81564.196274200891</v>
      </c>
      <c r="F13" s="189">
        <f t="shared" si="7"/>
        <v>81980.673385916467</v>
      </c>
      <c r="G13" s="189">
        <f t="shared" si="8"/>
        <v>82399.282828364332</v>
      </c>
      <c r="H13" s="189">
        <f t="shared" si="9"/>
        <v>82820.035548342305</v>
      </c>
      <c r="I13" s="189">
        <f t="shared" si="10"/>
        <v>83242.942548981431</v>
      </c>
      <c r="J13" s="189">
        <f t="shared" si="11"/>
        <v>83668.01489005897</v>
      </c>
      <c r="K13" s="189">
        <f t="shared" si="12"/>
        <v>84095.263688296138</v>
      </c>
      <c r="L13" s="189">
        <f t="shared" si="1"/>
        <v>81564.196274200891</v>
      </c>
      <c r="M13" s="188" t="s">
        <v>992</v>
      </c>
      <c r="N13" s="188">
        <f>601-$AD$19</f>
        <v>372</v>
      </c>
      <c r="O13" s="188">
        <v>0</v>
      </c>
      <c r="P13" s="188">
        <v>0</v>
      </c>
      <c r="Q13" s="188">
        <v>0</v>
      </c>
      <c r="R13" s="188">
        <f t="shared" si="2"/>
        <v>12.196721311475409</v>
      </c>
      <c r="S13" s="189">
        <v>100000</v>
      </c>
      <c r="T13" s="189">
        <v>73100</v>
      </c>
      <c r="U13" s="189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8" t="s">
        <v>4233</v>
      </c>
      <c r="B17" s="189">
        <f t="shared" si="14"/>
        <v>97498.441689116444</v>
      </c>
      <c r="C17" s="189">
        <f t="shared" si="0"/>
        <v>97894.330454208728</v>
      </c>
      <c r="D17" s="189">
        <f t="shared" si="5"/>
        <v>97943.932499446819</v>
      </c>
      <c r="E17" s="189">
        <f t="shared" si="6"/>
        <v>97993.560357147391</v>
      </c>
      <c r="F17" s="189">
        <f t="shared" si="7"/>
        <v>98043.214041097846</v>
      </c>
      <c r="G17" s="189">
        <f t="shared" si="8"/>
        <v>98092.893565090722</v>
      </c>
      <c r="H17" s="189">
        <f t="shared" si="9"/>
        <v>98142.598942928496</v>
      </c>
      <c r="I17" s="189">
        <f t="shared" si="10"/>
        <v>98192.330188419393</v>
      </c>
      <c r="J17" s="189">
        <f t="shared" si="11"/>
        <v>98242.087315379904</v>
      </c>
      <c r="K17" s="189">
        <f t="shared" si="12"/>
        <v>98291.870337635555</v>
      </c>
      <c r="L17" s="189">
        <f t="shared" si="1"/>
        <v>97993.560357147391</v>
      </c>
      <c r="M17" s="188" t="s">
        <v>4242</v>
      </c>
      <c r="N17" s="188">
        <f>266-$AD$19</f>
        <v>37</v>
      </c>
      <c r="O17" s="188">
        <v>0</v>
      </c>
      <c r="P17" s="188">
        <v>0</v>
      </c>
      <c r="Q17" s="188">
        <v>0</v>
      </c>
      <c r="R17" s="188">
        <f t="shared" si="2"/>
        <v>1.2131147540983607</v>
      </c>
      <c r="S17" s="189">
        <v>100000</v>
      </c>
      <c r="T17" s="189"/>
      <c r="U17" s="189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8" t="s">
        <v>4237</v>
      </c>
      <c r="B21" s="189">
        <f t="shared" si="14"/>
        <v>65543.373031167139</v>
      </c>
      <c r="C21" s="189">
        <f>$S21/(1+($C$1-$O21+$P21)/36500)^$N21</f>
        <v>70125.462894555676</v>
      </c>
      <c r="D21" s="189">
        <f t="shared" si="5"/>
        <v>70720.339391261034</v>
      </c>
      <c r="E21" s="189">
        <f t="shared" si="6"/>
        <v>71320.270492205644</v>
      </c>
      <c r="F21" s="189">
        <f t="shared" si="7"/>
        <v>71925.299215941108</v>
      </c>
      <c r="G21" s="189">
        <f t="shared" si="8"/>
        <v>72535.468947707297</v>
      </c>
      <c r="H21" s="189">
        <f t="shared" si="9"/>
        <v>73150.823442621302</v>
      </c>
      <c r="I21" s="189">
        <f t="shared" si="10"/>
        <v>73771.406828783569</v>
      </c>
      <c r="J21" s="189">
        <f t="shared" si="11"/>
        <v>74397.263610495604</v>
      </c>
      <c r="K21" s="189">
        <f t="shared" si="12"/>
        <v>75028.438671480224</v>
      </c>
      <c r="L21" s="189">
        <f t="shared" si="1"/>
        <v>71320.270492205644</v>
      </c>
      <c r="M21" s="188" t="s">
        <v>4245</v>
      </c>
      <c r="N21" s="188">
        <f>846-$AD$19</f>
        <v>617</v>
      </c>
      <c r="O21" s="188">
        <v>0</v>
      </c>
      <c r="P21" s="188">
        <v>0</v>
      </c>
      <c r="Q21" s="188">
        <v>0</v>
      </c>
      <c r="R21" s="188">
        <f t="shared" si="2"/>
        <v>20.229508196721312</v>
      </c>
      <c r="S21" s="189">
        <v>100000</v>
      </c>
      <c r="T21" s="189"/>
      <c r="U21" s="189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4" t="s">
        <v>4407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4" t="s">
        <v>4408</v>
      </c>
      <c r="N22" s="194">
        <f>547-$AD$19</f>
        <v>318</v>
      </c>
      <c r="O22" s="194">
        <v>0</v>
      </c>
      <c r="P22" s="194">
        <v>0</v>
      </c>
      <c r="Q22" s="194">
        <v>0</v>
      </c>
      <c r="R22" s="194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8" t="s">
        <v>4301</v>
      </c>
      <c r="B23" s="189">
        <f t="shared" si="14"/>
        <v>78960.656096634382</v>
      </c>
      <c r="C23" s="189">
        <f>$S23/(1+($C$1-$O23+$P23)/36500)^$N23</f>
        <v>82001.219096175962</v>
      </c>
      <c r="D23" s="189">
        <f t="shared" si="5"/>
        <v>82389.455079488122</v>
      </c>
      <c r="E23" s="189">
        <f t="shared" si="6"/>
        <v>82779.534524935065</v>
      </c>
      <c r="F23" s="189">
        <f t="shared" si="7"/>
        <v>83171.466211261708</v>
      </c>
      <c r="G23" s="189">
        <f t="shared" si="8"/>
        <v>83565.258959120532</v>
      </c>
      <c r="H23" s="189">
        <f t="shared" si="9"/>
        <v>83960.921631309786</v>
      </c>
      <c r="I23" s="189">
        <f t="shared" si="10"/>
        <v>84358.463132941659</v>
      </c>
      <c r="J23" s="189">
        <f t="shared" si="11"/>
        <v>84757.892411666151</v>
      </c>
      <c r="K23" s="189">
        <f t="shared" si="12"/>
        <v>85159.218457879892</v>
      </c>
      <c r="L23" s="189">
        <f t="shared" si="1"/>
        <v>82779.534524935065</v>
      </c>
      <c r="M23" s="188" t="s">
        <v>4302</v>
      </c>
      <c r="N23" s="188">
        <f>574-$AD$19</f>
        <v>345</v>
      </c>
      <c r="O23" s="188">
        <v>0</v>
      </c>
      <c r="P23" s="188"/>
      <c r="Q23" s="188">
        <v>0</v>
      </c>
      <c r="R23" s="188">
        <f t="shared" si="2"/>
        <v>11.311475409836065</v>
      </c>
      <c r="S23" s="189">
        <v>100000</v>
      </c>
      <c r="T23" s="189"/>
      <c r="U23" s="189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8" t="s">
        <v>1004</v>
      </c>
      <c r="B26" s="189">
        <f t="shared" si="14"/>
        <v>76090.403341232028</v>
      </c>
      <c r="C26" s="189">
        <f t="shared" si="16"/>
        <v>86478.793364214158</v>
      </c>
      <c r="D26" s="189">
        <f t="shared" si="5"/>
        <v>87873.41738578878</v>
      </c>
      <c r="E26" s="189">
        <f t="shared" si="6"/>
        <v>89290.551761047784</v>
      </c>
      <c r="F26" s="189">
        <f t="shared" si="7"/>
        <v>90730.560140980146</v>
      </c>
      <c r="G26" s="189">
        <f t="shared" si="8"/>
        <v>92193.812056476731</v>
      </c>
      <c r="H26" s="189">
        <f t="shared" si="9"/>
        <v>93680.683013418311</v>
      </c>
      <c r="I26" s="189">
        <f t="shared" si="10"/>
        <v>95191.554589233987</v>
      </c>
      <c r="J26" s="189">
        <f t="shared" si="11"/>
        <v>96726.814531451411</v>
      </c>
      <c r="K26" s="189">
        <f t="shared" si="12"/>
        <v>98286.856857243998</v>
      </c>
      <c r="L26" s="189">
        <f t="shared" si="1"/>
        <v>89290.551761047784</v>
      </c>
      <c r="M26" s="188" t="s">
        <v>1005</v>
      </c>
      <c r="N26" s="188">
        <f>1397-$AD$19</f>
        <v>1168</v>
      </c>
      <c r="O26" s="188">
        <v>17</v>
      </c>
      <c r="P26" s="188">
        <f>$AI$2</f>
        <v>0.54</v>
      </c>
      <c r="Q26" s="188">
        <v>6</v>
      </c>
      <c r="R26" s="188">
        <f t="shared" si="2"/>
        <v>38.295081967213115</v>
      </c>
      <c r="S26" s="189">
        <v>100000</v>
      </c>
      <c r="T26" s="189">
        <v>96000</v>
      </c>
      <c r="U26" s="189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8" t="s">
        <v>996</v>
      </c>
      <c r="B37" s="189">
        <f t="shared" si="14"/>
        <v>94192.244493389342</v>
      </c>
      <c r="C37" s="189">
        <f t="shared" si="16"/>
        <v>100000</v>
      </c>
      <c r="D37" s="189">
        <f t="shared" si="5"/>
        <v>100750.75446372948</v>
      </c>
      <c r="E37" s="189">
        <f t="shared" si="6"/>
        <v>101507.15565063358</v>
      </c>
      <c r="F37" s="189">
        <f t="shared" si="7"/>
        <v>102269.24611020349</v>
      </c>
      <c r="G37" s="189">
        <f t="shared" si="8"/>
        <v>103037.06871311093</v>
      </c>
      <c r="H37" s="189">
        <f t="shared" si="9"/>
        <v>103810.66665371189</v>
      </c>
      <c r="I37" s="189">
        <f t="shared" si="10"/>
        <v>104590.08345241382</v>
      </c>
      <c r="J37" s="189">
        <f t="shared" si="11"/>
        <v>105375.3629581948</v>
      </c>
      <c r="K37" s="189">
        <f t="shared" si="12"/>
        <v>106166.54935105896</v>
      </c>
      <c r="L37" s="189">
        <f t="shared" si="1"/>
        <v>101507.15565063358</v>
      </c>
      <c r="M37" s="188" t="s">
        <v>997</v>
      </c>
      <c r="N37" s="188">
        <f>775-$AD$19</f>
        <v>546</v>
      </c>
      <c r="O37" s="188">
        <v>21</v>
      </c>
      <c r="P37" s="188">
        <v>0</v>
      </c>
      <c r="Q37" s="188">
        <v>1</v>
      </c>
      <c r="R37" s="188">
        <f t="shared" si="2"/>
        <v>17.901639344262296</v>
      </c>
      <c r="S37" s="189">
        <v>100000</v>
      </c>
      <c r="T37" s="189">
        <v>104000</v>
      </c>
      <c r="U37" s="189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J26" sqref="J2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1232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14800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4296462.4411575552</v>
      </c>
      <c r="C8" s="99">
        <f>B2*B4*B5/(B1*B3)+B7/B6</f>
        <v>290.3015162944294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4800000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503537.55884244479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195" t="s">
        <v>1090</v>
      </c>
      <c r="R21" s="195"/>
      <c r="S21" s="195"/>
      <c r="T21" s="195"/>
      <c r="U21" s="96"/>
      <c r="V21" s="96"/>
      <c r="W21" s="96"/>
      <c r="X21" s="96"/>
      <c r="Y21" s="96"/>
      <c r="Z21" s="96"/>
    </row>
    <row r="22" spans="5:35">
      <c r="O22" s="99"/>
      <c r="P22" s="99"/>
      <c r="Q22" s="195"/>
      <c r="R22" s="195"/>
      <c r="S22" s="195"/>
      <c r="T22" s="195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196" t="s">
        <v>1091</v>
      </c>
      <c r="R23" s="197" t="s">
        <v>1092</v>
      </c>
      <c r="S23" s="196" t="s">
        <v>1093</v>
      </c>
      <c r="T23" s="198" t="s">
        <v>1094</v>
      </c>
      <c r="AD23" t="s">
        <v>25</v>
      </c>
    </row>
    <row r="24" spans="5:35">
      <c r="O24" s="99"/>
      <c r="P24" s="99"/>
      <c r="Q24" s="196"/>
      <c r="R24" s="197"/>
      <c r="S24" s="196"/>
      <c r="T24" s="198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2018-11-06T11:06:04Z</dcterms:modified>
</cp:coreProperties>
</file>