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253" i="52" l="1"/>
  <c r="N253" i="52"/>
  <c r="P254" i="52" s="1"/>
  <c r="O253" i="52"/>
  <c r="J254" i="52"/>
  <c r="N254" i="52"/>
  <c r="O254" i="52"/>
  <c r="J255" i="52"/>
  <c r="N255" i="52"/>
  <c r="O255" i="52"/>
  <c r="P255" i="52"/>
  <c r="J256" i="52"/>
  <c r="N256" i="52"/>
  <c r="O256" i="52"/>
  <c r="P256" i="52"/>
  <c r="J257" i="52"/>
  <c r="N257" i="52"/>
  <c r="O257" i="52"/>
  <c r="P257" i="52"/>
  <c r="J258" i="52"/>
  <c r="N258" i="52"/>
  <c r="O258" i="52"/>
  <c r="P258" i="52"/>
  <c r="J259" i="52"/>
  <c r="N259" i="52"/>
  <c r="O259" i="52"/>
  <c r="P259" i="52"/>
  <c r="J260" i="52"/>
  <c r="N260" i="52"/>
  <c r="O260" i="52"/>
  <c r="P260" i="52"/>
  <c r="J261" i="52"/>
  <c r="N261" i="52"/>
  <c r="O261" i="52"/>
  <c r="P261" i="52"/>
  <c r="J262" i="52"/>
  <c r="N262" i="52"/>
  <c r="O262" i="52"/>
  <c r="P262" i="52"/>
  <c r="J263" i="52"/>
  <c r="N263" i="52"/>
  <c r="O263" i="52"/>
  <c r="P263" i="52"/>
  <c r="J264" i="52"/>
  <c r="N264" i="52"/>
  <c r="O264" i="52"/>
  <c r="P264" i="52"/>
  <c r="J265" i="52"/>
  <c r="N265" i="52"/>
  <c r="O265" i="52"/>
  <c r="P265" i="52"/>
  <c r="J266" i="52"/>
  <c r="N266" i="52"/>
  <c r="O266" i="52"/>
  <c r="P266" i="52"/>
  <c r="J267" i="52"/>
  <c r="N267" i="52"/>
  <c r="O267" i="52"/>
  <c r="P267" i="52"/>
  <c r="J268" i="52"/>
  <c r="N268" i="52"/>
  <c r="O268" i="52"/>
  <c r="P268" i="52"/>
  <c r="L47" i="18" l="1"/>
  <c r="O247" i="52"/>
  <c r="S52" i="18"/>
  <c r="L44" i="18"/>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P195" i="18"/>
  <c r="W346" i="18"/>
  <c r="W345" i="18"/>
  <c r="W344" i="18"/>
  <c r="O223" i="52" l="1"/>
  <c r="W343" i="18"/>
  <c r="J222" i="52" l="1"/>
  <c r="W342"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8"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2" i="18"/>
  <c r="S83" i="18" s="1"/>
  <c r="S84" i="18" s="1"/>
  <c r="R213" i="18"/>
  <c r="R211" i="18"/>
  <c r="D57" i="51"/>
  <c r="AL117" i="18" l="1"/>
  <c r="AM118" i="18"/>
  <c r="S85" i="18"/>
  <c r="S86" i="18" s="1"/>
  <c r="AM117" i="18" l="1"/>
  <c r="AL116" i="18"/>
  <c r="S87" i="18"/>
  <c r="S88" i="18" s="1"/>
  <c r="N31" i="18"/>
  <c r="Q114"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AL113" i="18"/>
  <c r="AM114" i="18"/>
  <c r="S20" i="18"/>
  <c r="S21" i="18" s="1"/>
  <c r="S91" i="18" l="1"/>
  <c r="AL112" i="18"/>
  <c r="AM113" i="18"/>
  <c r="N45" i="18"/>
  <c r="M105" i="18" l="1"/>
  <c r="N105" i="18" s="1"/>
  <c r="S92" i="18"/>
  <c r="S93" i="18" s="1"/>
  <c r="AM112" i="18"/>
  <c r="AL111" i="18"/>
  <c r="D108" i="50"/>
  <c r="S94" i="18" l="1"/>
  <c r="AL110" i="18"/>
  <c r="AM111" i="18"/>
  <c r="S95" i="18" l="1"/>
  <c r="S96" i="18" s="1"/>
  <c r="AL109" i="18"/>
  <c r="AM110" i="18"/>
  <c r="S97" i="18" l="1"/>
  <c r="S98" i="18" s="1"/>
  <c r="S99" i="18" s="1"/>
  <c r="S100" i="18" s="1"/>
  <c r="S101" i="18" s="1"/>
  <c r="S102" i="18" s="1"/>
  <c r="S103" i="18" s="1"/>
  <c r="S104" i="18" s="1"/>
  <c r="S105" i="18" s="1"/>
  <c r="N104"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7" i="18" l="1"/>
  <c r="R209" i="18"/>
  <c r="S40" i="18"/>
  <c r="S41" i="18" s="1"/>
  <c r="AJ368" i="18"/>
  <c r="AJ369" i="18" s="1"/>
  <c r="AM94" i="18"/>
  <c r="AL93" i="18"/>
  <c r="AL246" i="18"/>
  <c r="AM247" i="18"/>
  <c r="S42" i="18" l="1"/>
  <c r="AL92" i="18"/>
  <c r="AM93" i="18"/>
  <c r="AL245" i="18"/>
  <c r="AM246" i="18"/>
  <c r="S124" i="18"/>
  <c r="S125"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AM88" i="18"/>
  <c r="AL87" i="18"/>
  <c r="AL240" i="18"/>
  <c r="AM241" i="18"/>
  <c r="B10" i="36"/>
  <c r="AL86" i="18" l="1"/>
  <c r="AM87" i="18"/>
  <c r="AL239" i="18"/>
  <c r="AM240" i="18"/>
  <c r="S126" i="18"/>
  <c r="S127" i="18" s="1"/>
  <c r="S128" i="18" s="1"/>
  <c r="S53" i="18" l="1"/>
  <c r="S54" i="18" s="1"/>
  <c r="AL85" i="18"/>
  <c r="AM86" i="18"/>
  <c r="S129" i="18"/>
  <c r="S130"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1" i="18"/>
  <c r="S132" i="18" s="1"/>
  <c r="S13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4" i="18" l="1"/>
  <c r="AL77" i="18"/>
  <c r="AM78" i="18"/>
  <c r="G307" i="20" l="1"/>
  <c r="K308" i="20"/>
  <c r="J308" i="20"/>
  <c r="I308" i="20"/>
  <c r="S135" i="18"/>
  <c r="AL76" i="18"/>
  <c r="AM77" i="18"/>
  <c r="S136" i="18" l="1"/>
  <c r="S137" i="18" s="1"/>
  <c r="G306" i="20"/>
  <c r="J307" i="20"/>
  <c r="I307" i="20"/>
  <c r="K307" i="20"/>
  <c r="AL75" i="18"/>
  <c r="AM76" i="18"/>
  <c r="N47" i="18"/>
  <c r="Q184" i="18" s="1"/>
  <c r="R208" i="18" l="1"/>
  <c r="S138" i="18"/>
  <c r="S139" i="18" s="1"/>
  <c r="S140" i="18" s="1"/>
  <c r="M102" i="18"/>
  <c r="N102" i="18" s="1"/>
  <c r="N110" i="18" s="1"/>
  <c r="AJ223" i="18"/>
  <c r="AJ224" i="18" s="1"/>
  <c r="G305" i="20"/>
  <c r="I306" i="20"/>
  <c r="K306" i="20"/>
  <c r="J306" i="20"/>
  <c r="AL74" i="18"/>
  <c r="AM75" i="18"/>
  <c r="R221" i="18" l="1"/>
  <c r="T351" i="18" s="1"/>
  <c r="V354" i="18" s="1"/>
  <c r="G304" i="20"/>
  <c r="I305" i="20"/>
  <c r="K305" i="20"/>
  <c r="J305" i="20"/>
  <c r="AL73" i="18"/>
  <c r="AM74" i="18"/>
  <c r="R118" i="18"/>
  <c r="V75" i="18" l="1"/>
  <c r="W75" i="18" s="1"/>
  <c r="V73" i="18"/>
  <c r="W73" i="18" s="1"/>
  <c r="V74" i="18"/>
  <c r="V71" i="18"/>
  <c r="V72" i="18"/>
  <c r="V70" i="18"/>
  <c r="W70" i="18" s="1"/>
  <c r="V113" i="18"/>
  <c r="V112" i="18"/>
  <c r="V69" i="18"/>
  <c r="X69" i="18" s="1"/>
  <c r="V111" i="18"/>
  <c r="V68" i="18"/>
  <c r="W68" i="18" s="1"/>
  <c r="V183" i="18"/>
  <c r="V67" i="18"/>
  <c r="W67" i="18" s="1"/>
  <c r="V66" i="18"/>
  <c r="W66" i="18" s="1"/>
  <c r="V110" i="18"/>
  <c r="W110" i="18" s="1"/>
  <c r="U364" i="18"/>
  <c r="V364" i="18" s="1"/>
  <c r="V109" i="18"/>
  <c r="X109" i="18" s="1"/>
  <c r="V64" i="18"/>
  <c r="V65" i="18"/>
  <c r="V63" i="18"/>
  <c r="X63" i="18" s="1"/>
  <c r="V62" i="18"/>
  <c r="X62" i="18" s="1"/>
  <c r="V108" i="18"/>
  <c r="V107" i="18"/>
  <c r="X107" i="18" s="1"/>
  <c r="V61" i="18"/>
  <c r="X61" i="18" s="1"/>
  <c r="V106" i="18"/>
  <c r="V60" i="18"/>
  <c r="V76" i="18"/>
  <c r="V105" i="18"/>
  <c r="V58" i="18"/>
  <c r="W58" i="18" s="1"/>
  <c r="V59" i="18"/>
  <c r="V57" i="18"/>
  <c r="V56" i="18"/>
  <c r="V55" i="18"/>
  <c r="W55" i="18" s="1"/>
  <c r="V54" i="18"/>
  <c r="V104" i="18"/>
  <c r="W104" i="18" s="1"/>
  <c r="V102" i="18"/>
  <c r="W102" i="18" s="1"/>
  <c r="V103" i="18"/>
  <c r="V52" i="18"/>
  <c r="W52" i="18" s="1"/>
  <c r="V53" i="18"/>
  <c r="V51" i="18"/>
  <c r="V50" i="18"/>
  <c r="V49" i="18"/>
  <c r="V48" i="18"/>
  <c r="W48" i="18" s="1"/>
  <c r="V47" i="18"/>
  <c r="W47" i="18" s="1"/>
  <c r="V101" i="18"/>
  <c r="V100" i="18"/>
  <c r="V99" i="18"/>
  <c r="X99" i="18" s="1"/>
  <c r="V46" i="18"/>
  <c r="V98" i="18"/>
  <c r="W98" i="18" s="1"/>
  <c r="V45" i="18"/>
  <c r="V97" i="18"/>
  <c r="V44" i="18"/>
  <c r="W44" i="18" s="1"/>
  <c r="V96" i="18"/>
  <c r="V95" i="18"/>
  <c r="W95" i="18" s="1"/>
  <c r="V43" i="18"/>
  <c r="V42" i="18"/>
  <c r="X42" i="18" s="1"/>
  <c r="V94" i="18"/>
  <c r="S197" i="18"/>
  <c r="V40" i="18"/>
  <c r="W40" i="18" s="1"/>
  <c r="V41" i="18"/>
  <c r="V93" i="18"/>
  <c r="W93" i="18" s="1"/>
  <c r="V39" i="18"/>
  <c r="V122" i="18"/>
  <c r="V92" i="18"/>
  <c r="V91" i="18"/>
  <c r="V90" i="18"/>
  <c r="W90" i="18" s="1"/>
  <c r="V38" i="18"/>
  <c r="V37" i="18"/>
  <c r="V36" i="18"/>
  <c r="S141" i="18"/>
  <c r="V35" i="18"/>
  <c r="V34" i="18"/>
  <c r="W34" i="18" s="1"/>
  <c r="V89" i="18"/>
  <c r="V88" i="18"/>
  <c r="V33" i="18"/>
  <c r="V32" i="18"/>
  <c r="V31" i="18"/>
  <c r="V29" i="18"/>
  <c r="W29" i="18" s="1"/>
  <c r="V30" i="18"/>
  <c r="V28" i="18"/>
  <c r="X28" i="18" s="1"/>
  <c r="G303" i="20"/>
  <c r="K304" i="20"/>
  <c r="I304" i="20"/>
  <c r="J304" i="20"/>
  <c r="V27" i="18"/>
  <c r="W27" i="18" s="1"/>
  <c r="V139" i="18"/>
  <c r="V138" i="18"/>
  <c r="V26" i="18"/>
  <c r="W26" i="18" s="1"/>
  <c r="V87" i="18"/>
  <c r="V136" i="18"/>
  <c r="W136" i="18" s="1"/>
  <c r="V137" i="18"/>
  <c r="V134" i="18"/>
  <c r="W134" i="18" s="1"/>
  <c r="V135" i="18"/>
  <c r="V133" i="18"/>
  <c r="W133" i="18" s="1"/>
  <c r="V25" i="18"/>
  <c r="V24" i="18"/>
  <c r="W24" i="18" s="1"/>
  <c r="V86" i="18"/>
  <c r="V23" i="18"/>
  <c r="X23" i="18" s="1"/>
  <c r="V85" i="18"/>
  <c r="V84" i="18"/>
  <c r="V132" i="18"/>
  <c r="V83" i="18"/>
  <c r="V131" i="18"/>
  <c r="V22" i="18"/>
  <c r="V130" i="18"/>
  <c r="V21" i="18"/>
  <c r="V129" i="18"/>
  <c r="V128" i="18"/>
  <c r="V127" i="18"/>
  <c r="V125" i="18"/>
  <c r="V126" i="18"/>
  <c r="V20" i="18"/>
  <c r="V123" i="18"/>
  <c r="V124" i="18"/>
  <c r="AL72" i="18"/>
  <c r="AM73" i="18"/>
  <c r="X75" i="18" l="1"/>
  <c r="X73" i="18"/>
  <c r="W74" i="18"/>
  <c r="X74" i="18"/>
  <c r="W72" i="18"/>
  <c r="X72" i="18"/>
  <c r="W71" i="18"/>
  <c r="X71" i="18"/>
  <c r="W69" i="18"/>
  <c r="X70" i="18"/>
  <c r="W112" i="18"/>
  <c r="X112" i="18"/>
  <c r="X113" i="18"/>
  <c r="W113" i="18"/>
  <c r="W111" i="18"/>
  <c r="X111" i="18"/>
  <c r="X68" i="18"/>
  <c r="X183" i="18"/>
  <c r="W183" i="18"/>
  <c r="X67" i="18"/>
  <c r="X66" i="18"/>
  <c r="X110" i="18"/>
  <c r="W109" i="18"/>
  <c r="W63" i="18"/>
  <c r="W65" i="18"/>
  <c r="X65" i="18"/>
  <c r="X64" i="18"/>
  <c r="W64" i="18"/>
  <c r="W62" i="18"/>
  <c r="W108" i="18"/>
  <c r="X108" i="18"/>
  <c r="W107" i="18"/>
  <c r="W61" i="18"/>
  <c r="W106" i="18"/>
  <c r="X106" i="18"/>
  <c r="W76" i="18"/>
  <c r="X76" i="18"/>
  <c r="W60" i="18"/>
  <c r="X60" i="18"/>
  <c r="W105" i="18"/>
  <c r="X105" i="18"/>
  <c r="X58" i="18"/>
  <c r="W59" i="18"/>
  <c r="X59" i="18"/>
  <c r="W56" i="18"/>
  <c r="X56" i="18"/>
  <c r="W57" i="18"/>
  <c r="X57" i="18"/>
  <c r="X55" i="18"/>
  <c r="W54" i="18"/>
  <c r="X54" i="18"/>
  <c r="X104" i="18"/>
  <c r="X102" i="18"/>
  <c r="W103" i="18"/>
  <c r="X103" i="18"/>
  <c r="X52" i="18"/>
  <c r="W53" i="18"/>
  <c r="X53" i="18"/>
  <c r="W51" i="18"/>
  <c r="X51" i="18"/>
  <c r="W50" i="18"/>
  <c r="X50" i="18"/>
  <c r="W49" i="18"/>
  <c r="X49" i="18"/>
  <c r="U197" i="18"/>
  <c r="V197" i="18" s="1"/>
  <c r="X48" i="18"/>
  <c r="X47" i="18"/>
  <c r="W101" i="18"/>
  <c r="X101" i="18"/>
  <c r="W100" i="18"/>
  <c r="X100" i="18"/>
  <c r="W99" i="18"/>
  <c r="X46" i="18"/>
  <c r="W46" i="18"/>
  <c r="X98" i="18"/>
  <c r="X45" i="18"/>
  <c r="W45" i="18"/>
  <c r="W97" i="18"/>
  <c r="X97" i="18"/>
  <c r="X44" i="18"/>
  <c r="X96" i="18"/>
  <c r="W96" i="18"/>
  <c r="X95" i="18"/>
  <c r="X43" i="18"/>
  <c r="W43" i="18"/>
  <c r="W42" i="18"/>
  <c r="W94" i="18"/>
  <c r="X94" i="18"/>
  <c r="X40" i="18"/>
  <c r="W41" i="18"/>
  <c r="X41" i="18"/>
  <c r="X93" i="18"/>
  <c r="W39" i="18"/>
  <c r="X39" i="18"/>
  <c r="W92" i="18"/>
  <c r="X92" i="18"/>
  <c r="W91" i="18"/>
  <c r="X91" i="18"/>
  <c r="X90" i="18"/>
  <c r="W38" i="18"/>
  <c r="X38" i="18"/>
  <c r="W37" i="18"/>
  <c r="X37" i="18"/>
  <c r="X36" i="18"/>
  <c r="W36" i="18"/>
  <c r="V140" i="18"/>
  <c r="X140" i="18" s="1"/>
  <c r="W35" i="18"/>
  <c r="X35" i="18"/>
  <c r="X34" i="18"/>
  <c r="W89" i="18"/>
  <c r="X89" i="18"/>
  <c r="W88" i="18"/>
  <c r="X88" i="18"/>
  <c r="X33" i="18"/>
  <c r="W33" i="18"/>
  <c r="X32" i="18"/>
  <c r="W32" i="18"/>
  <c r="W31" i="18"/>
  <c r="X31" i="18"/>
  <c r="X29" i="18"/>
  <c r="W30" i="18"/>
  <c r="X30" i="18"/>
  <c r="W28" i="18"/>
  <c r="S196" i="18"/>
  <c r="R205" i="18" s="1"/>
  <c r="G302" i="20"/>
  <c r="K303" i="20"/>
  <c r="I303" i="20"/>
  <c r="J303" i="20"/>
  <c r="X27" i="18"/>
  <c r="X139" i="18"/>
  <c r="W139" i="18"/>
  <c r="W138" i="18"/>
  <c r="X138" i="18"/>
  <c r="X26" i="18"/>
  <c r="W87" i="18"/>
  <c r="X87" i="18"/>
  <c r="X136" i="18"/>
  <c r="W137" i="18"/>
  <c r="X137" i="18"/>
  <c r="X134" i="18"/>
  <c r="W135" i="18"/>
  <c r="X135" i="18"/>
  <c r="X133" i="18"/>
  <c r="W25" i="18"/>
  <c r="X25" i="18"/>
  <c r="X24" i="18"/>
  <c r="W86" i="18"/>
  <c r="X86" i="18"/>
  <c r="W23" i="18"/>
  <c r="W85" i="18"/>
  <c r="X85" i="18"/>
  <c r="W84" i="18"/>
  <c r="X84" i="18"/>
  <c r="S195" i="18"/>
  <c r="S194" i="18"/>
  <c r="R204" i="18" s="1"/>
  <c r="W132" i="18"/>
  <c r="X132" i="18"/>
  <c r="X83" i="18"/>
  <c r="W83" i="18"/>
  <c r="W130" i="18"/>
  <c r="X130" i="18"/>
  <c r="W124" i="18"/>
  <c r="X124" i="18"/>
  <c r="W128" i="18"/>
  <c r="X128" i="18"/>
  <c r="W22" i="18"/>
  <c r="X22" i="18"/>
  <c r="W20" i="18"/>
  <c r="X20" i="18"/>
  <c r="W126" i="18"/>
  <c r="X126" i="18"/>
  <c r="X131" i="18"/>
  <c r="W131" i="18"/>
  <c r="W123" i="18"/>
  <c r="X123" i="18"/>
  <c r="W122" i="18"/>
  <c r="X122" i="18"/>
  <c r="W127" i="18"/>
  <c r="X127" i="18"/>
  <c r="W125" i="18"/>
  <c r="X125" i="18"/>
  <c r="W129" i="18"/>
  <c r="X129" i="18"/>
  <c r="W21" i="18"/>
  <c r="X21" i="18"/>
  <c r="AL71" i="18"/>
  <c r="AM72" i="18"/>
  <c r="U194" i="18" l="1"/>
  <c r="W140"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1" i="18" l="1"/>
  <c r="S142" i="18"/>
  <c r="G298" i="20"/>
  <c r="K299" i="20"/>
  <c r="I299" i="20"/>
  <c r="J299" i="20"/>
  <c r="AL67" i="18"/>
  <c r="AM68" i="18"/>
  <c r="I2" i="33"/>
  <c r="E2" i="33"/>
  <c r="J2" i="33"/>
  <c r="F2" i="33"/>
  <c r="K2" i="33"/>
  <c r="G2" i="33"/>
  <c r="D2" i="33"/>
  <c r="C2" i="33"/>
  <c r="H2" i="33"/>
  <c r="D73" i="45"/>
  <c r="V142" i="18" l="1"/>
  <c r="S143" i="18"/>
  <c r="S144" i="18" s="1"/>
  <c r="S145" i="18" s="1"/>
  <c r="W141" i="18"/>
  <c r="X141" i="18"/>
  <c r="G297" i="20"/>
  <c r="K298" i="20"/>
  <c r="I298" i="20"/>
  <c r="J298" i="20"/>
  <c r="AL66" i="18"/>
  <c r="AM67" i="18"/>
  <c r="F33" i="14"/>
  <c r="F34" i="14"/>
  <c r="F35" i="14"/>
  <c r="F36" i="14"/>
  <c r="F37" i="14"/>
  <c r="F38" i="14"/>
  <c r="F39" i="14"/>
  <c r="F40" i="14"/>
  <c r="F41" i="14"/>
  <c r="F42" i="14"/>
  <c r="F43" i="14"/>
  <c r="E62" i="14"/>
  <c r="E61" i="14" s="1"/>
  <c r="B63" i="14"/>
  <c r="V143" i="18" l="1"/>
  <c r="X142" i="18"/>
  <c r="W142" i="18"/>
  <c r="G61" i="14"/>
  <c r="E60" i="14"/>
  <c r="I297" i="20"/>
  <c r="K297" i="20"/>
  <c r="J297" i="20"/>
  <c r="G296" i="20"/>
  <c r="AL65" i="18"/>
  <c r="AM66" i="18"/>
  <c r="W143" i="18" l="1"/>
  <c r="X14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4" i="18"/>
  <c r="W144" i="18" s="1"/>
  <c r="J266" i="20"/>
  <c r="G265" i="20"/>
  <c r="K266" i="20"/>
  <c r="I266" i="20"/>
  <c r="AL34" i="18"/>
  <c r="AM35" i="18"/>
  <c r="E240" i="15"/>
  <c r="E239" i="15"/>
  <c r="X144" i="18" l="1"/>
  <c r="G29" i="14"/>
  <c r="E28" i="14"/>
  <c r="K265" i="20"/>
  <c r="G264" i="20"/>
  <c r="J265" i="20"/>
  <c r="I265" i="20"/>
  <c r="D259" i="15"/>
  <c r="F259" i="15" s="1"/>
  <c r="AL33" i="18"/>
  <c r="AM34" i="18"/>
  <c r="E27" i="14" l="1"/>
  <c r="G28" i="14"/>
  <c r="G263" i="20"/>
  <c r="K264" i="20"/>
  <c r="J264" i="20"/>
  <c r="I264" i="20"/>
  <c r="D258" i="15"/>
  <c r="F258" i="15" s="1"/>
  <c r="AL32" i="18"/>
  <c r="AM33" i="18"/>
  <c r="S146" i="18" l="1"/>
  <c r="S147" i="18" s="1"/>
  <c r="S148" i="18" s="1"/>
  <c r="S149" i="18" s="1"/>
  <c r="S150" i="18" s="1"/>
  <c r="E26" i="14"/>
  <c r="G27" i="14"/>
  <c r="I263" i="20"/>
  <c r="K263" i="20"/>
  <c r="G262" i="20"/>
  <c r="J263" i="20"/>
  <c r="D257" i="15"/>
  <c r="F257" i="15" s="1"/>
  <c r="AL31" i="18"/>
  <c r="AM32" i="18"/>
  <c r="K61" i="32"/>
  <c r="U61" i="32" s="1"/>
  <c r="K60" i="32"/>
  <c r="U60" i="32" s="1"/>
  <c r="K49" i="32"/>
  <c r="U49" i="32" s="1"/>
  <c r="K48" i="32"/>
  <c r="U48" i="32" s="1"/>
  <c r="K46" i="32"/>
  <c r="I60" i="32"/>
  <c r="I48" i="32"/>
  <c r="S70" i="32"/>
  <c r="V149" i="18" l="1"/>
  <c r="W149" i="18" s="1"/>
  <c r="V145" i="18"/>
  <c r="X145" i="18" s="1"/>
  <c r="E25" i="14"/>
  <c r="G26" i="14"/>
  <c r="G261" i="20"/>
  <c r="I262" i="20"/>
  <c r="J262" i="20"/>
  <c r="K262" i="20"/>
  <c r="D256" i="15"/>
  <c r="F256" i="15" s="1"/>
  <c r="AL30" i="18"/>
  <c r="AM31" i="18"/>
  <c r="L60" i="32"/>
  <c r="L48" i="32"/>
  <c r="X149" i="18" l="1"/>
  <c r="S151" i="18"/>
  <c r="W145" i="18"/>
  <c r="E24" i="14"/>
  <c r="G25" i="14"/>
  <c r="J261" i="20"/>
  <c r="I261" i="20"/>
  <c r="K261" i="20"/>
  <c r="G260" i="20"/>
  <c r="D255" i="15"/>
  <c r="F255" i="15" s="1"/>
  <c r="AL29" i="18"/>
  <c r="AM30" i="18"/>
  <c r="V150" i="18" l="1"/>
  <c r="X15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1" i="18" l="1"/>
  <c r="W151" i="18" s="1"/>
  <c r="S152" i="18"/>
  <c r="V146" i="18"/>
  <c r="W14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2" i="18" l="1"/>
  <c r="W152" i="18" s="1"/>
  <c r="S153" i="18"/>
  <c r="X151" i="18"/>
  <c r="X14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3" i="18" l="1"/>
  <c r="W153" i="18" s="1"/>
  <c r="S154" i="18"/>
  <c r="X152" i="18"/>
  <c r="G255" i="20"/>
  <c r="I256" i="20"/>
  <c r="J256" i="20"/>
  <c r="K256" i="20"/>
  <c r="D250" i="15"/>
  <c r="F250" i="15" s="1"/>
  <c r="AL24" i="18"/>
  <c r="AM25" i="18"/>
  <c r="E178" i="13"/>
  <c r="G179" i="13"/>
  <c r="X153" i="18" l="1"/>
  <c r="V154" i="18"/>
  <c r="W154" i="18" s="1"/>
  <c r="S155" i="18"/>
  <c r="S156" i="18" s="1"/>
  <c r="V147" i="18"/>
  <c r="X147" i="18" s="1"/>
  <c r="G254" i="20"/>
  <c r="J255" i="20"/>
  <c r="I255" i="20"/>
  <c r="K255" i="20"/>
  <c r="D249" i="15"/>
  <c r="F249" i="15" s="1"/>
  <c r="AM24" i="18"/>
  <c r="AL23" i="18"/>
  <c r="E177" i="13"/>
  <c r="G178" i="13"/>
  <c r="V155" i="18" l="1"/>
  <c r="X155" i="18" s="1"/>
  <c r="X154" i="18"/>
  <c r="W147" i="18"/>
  <c r="K254" i="20"/>
  <c r="I254" i="20"/>
  <c r="G253" i="20"/>
  <c r="J254" i="20"/>
  <c r="D248" i="15"/>
  <c r="AM23" i="18"/>
  <c r="AL22" i="18"/>
  <c r="E176" i="13"/>
  <c r="G177" i="13"/>
  <c r="D165" i="20"/>
  <c r="W155" i="18" l="1"/>
  <c r="G252" i="20"/>
  <c r="J253" i="20"/>
  <c r="K253" i="20"/>
  <c r="I253" i="20"/>
  <c r="D247" i="15"/>
  <c r="F248" i="15"/>
  <c r="AL21" i="18"/>
  <c r="AL20" i="18" s="1"/>
  <c r="AM22" i="18"/>
  <c r="E175" i="13"/>
  <c r="G176" i="13"/>
  <c r="D164" i="20"/>
  <c r="V156" i="18" l="1"/>
  <c r="W156" i="18" s="1"/>
  <c r="S15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6" i="18"/>
  <c r="V157" i="18"/>
  <c r="W157" i="18" s="1"/>
  <c r="S15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8" i="18" l="1"/>
  <c r="W158" i="18" s="1"/>
  <c r="S159" i="18"/>
  <c r="S160" i="18" s="1"/>
  <c r="S161" i="18" s="1"/>
  <c r="X157" i="18"/>
  <c r="X148" i="18"/>
  <c r="W148" i="18"/>
  <c r="U2123" i="41"/>
  <c r="V2123" i="41" s="1"/>
  <c r="X2123" i="41" s="1"/>
  <c r="G249" i="20"/>
  <c r="J250" i="20"/>
  <c r="K250" i="20"/>
  <c r="I250" i="20"/>
  <c r="F245" i="15"/>
  <c r="D244" i="15"/>
  <c r="AN217" i="18"/>
  <c r="AJ222" i="18" s="1"/>
  <c r="E172" i="13"/>
  <c r="G173" i="13"/>
  <c r="D62" i="38"/>
  <c r="V159" i="18" l="1"/>
  <c r="X159" i="18" s="1"/>
  <c r="X158" i="18"/>
  <c r="AJ226" i="18"/>
  <c r="J249" i="20"/>
  <c r="I249" i="20"/>
  <c r="K249" i="20"/>
  <c r="G248" i="20"/>
  <c r="F244" i="15"/>
  <c r="D243" i="15"/>
  <c r="AJ225" i="18"/>
  <c r="E171" i="13"/>
  <c r="G172" i="13"/>
  <c r="W15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0" i="18" l="1"/>
  <c r="W16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2" i="18" l="1"/>
  <c r="G235" i="20"/>
  <c r="J236" i="20"/>
  <c r="I236" i="20"/>
  <c r="K236" i="20"/>
  <c r="F231" i="15"/>
  <c r="D230" i="15"/>
  <c r="E158" i="13"/>
  <c r="G159" i="13"/>
  <c r="D154" i="20"/>
  <c r="D153" i="20"/>
  <c r="V161" i="18" l="1"/>
  <c r="X16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1" i="18" l="1"/>
  <c r="I234" i="20"/>
  <c r="K234" i="20"/>
  <c r="J234" i="20"/>
  <c r="G233" i="20"/>
  <c r="F229" i="15"/>
  <c r="D228" i="15"/>
  <c r="E156" i="13"/>
  <c r="G157" i="13"/>
  <c r="V162" i="18" l="1"/>
  <c r="X162" i="18" s="1"/>
  <c r="S16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3" i="18" l="1"/>
  <c r="W163" i="18" s="1"/>
  <c r="S164" i="18"/>
  <c r="W162" i="18"/>
  <c r="G231" i="20"/>
  <c r="I232" i="20"/>
  <c r="J232" i="20"/>
  <c r="K232" i="20"/>
  <c r="F227" i="15"/>
  <c r="D226" i="15"/>
  <c r="E154" i="13"/>
  <c r="G155" i="13"/>
  <c r="I46" i="32"/>
  <c r="V164" i="18" l="1"/>
  <c r="W164" i="18" s="1"/>
  <c r="S165" i="18"/>
  <c r="S166" i="18" s="1"/>
  <c r="S167" i="18" s="1"/>
  <c r="X16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4" i="18" l="1"/>
  <c r="V165" i="18"/>
  <c r="W16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5" i="18" l="1"/>
  <c r="G228" i="20"/>
  <c r="J229" i="20"/>
  <c r="K229" i="20"/>
  <c r="I229" i="20"/>
  <c r="E151" i="13"/>
  <c r="G152" i="13"/>
  <c r="K228" i="20" l="1"/>
  <c r="G227" i="20"/>
  <c r="I228" i="20"/>
  <c r="J228" i="20"/>
  <c r="E150" i="13"/>
  <c r="G151" i="13"/>
  <c r="V166" i="18" l="1"/>
  <c r="W166" i="18" s="1"/>
  <c r="J227" i="20"/>
  <c r="G226" i="20"/>
  <c r="I227" i="20"/>
  <c r="K227" i="20"/>
  <c r="E149" i="13"/>
  <c r="G150" i="13"/>
  <c r="Z32" i="32"/>
  <c r="M45" i="32"/>
  <c r="R45" i="32" s="1"/>
  <c r="X16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8"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S169" i="18" l="1"/>
  <c r="S170" i="18" s="1"/>
  <c r="W167" i="18"/>
  <c r="X167" i="18"/>
  <c r="I219" i="20"/>
  <c r="J219" i="20"/>
  <c r="G218" i="20"/>
  <c r="K219" i="20"/>
  <c r="E141" i="13"/>
  <c r="G142" i="13"/>
  <c r="V168" i="18" l="1"/>
  <c r="K218" i="20"/>
  <c r="G217" i="20"/>
  <c r="I218" i="20"/>
  <c r="J218" i="20"/>
  <c r="E140" i="13"/>
  <c r="G141" i="13"/>
  <c r="W168" i="18" l="1"/>
  <c r="X168" i="18"/>
  <c r="K217" i="20"/>
  <c r="J217" i="20"/>
  <c r="I217" i="20"/>
  <c r="G216" i="20"/>
  <c r="E139" i="13"/>
  <c r="G140" i="13"/>
  <c r="N34" i="33"/>
  <c r="V169" i="18" l="1"/>
  <c r="K216" i="20"/>
  <c r="I216" i="20"/>
  <c r="G215" i="20"/>
  <c r="J216" i="20"/>
  <c r="B34" i="33"/>
  <c r="J34" i="33"/>
  <c r="F34" i="33"/>
  <c r="K34" i="33"/>
  <c r="G34" i="33"/>
  <c r="H34" i="33"/>
  <c r="D34" i="33"/>
  <c r="C34" i="33"/>
  <c r="I34" i="33"/>
  <c r="E34" i="33"/>
  <c r="E138" i="13"/>
  <c r="G139" i="13"/>
  <c r="K43" i="32"/>
  <c r="U43" i="32" s="1"/>
  <c r="M43" i="32"/>
  <c r="V170" i="18" l="1"/>
  <c r="X170" i="18" s="1"/>
  <c r="S171" i="18"/>
  <c r="W169" i="18"/>
  <c r="X169" i="18"/>
  <c r="R43" i="32"/>
  <c r="S43" i="32"/>
  <c r="K215" i="20"/>
  <c r="I215" i="20"/>
  <c r="J215" i="20"/>
  <c r="G214" i="20"/>
  <c r="E137" i="13"/>
  <c r="G138" i="13"/>
  <c r="Q43" i="32"/>
  <c r="W170" i="18" l="1"/>
  <c r="V171" i="18"/>
  <c r="W171" i="18" s="1"/>
  <c r="S172" i="18"/>
  <c r="I214" i="20"/>
  <c r="J214" i="20"/>
  <c r="G213" i="20"/>
  <c r="K214" i="20"/>
  <c r="E136" i="13"/>
  <c r="G137" i="13"/>
  <c r="I42" i="32"/>
  <c r="K41" i="32"/>
  <c r="M41" i="32"/>
  <c r="S41" i="32" s="1"/>
  <c r="M29" i="32"/>
  <c r="K29" i="32"/>
  <c r="X171" i="18" l="1"/>
  <c r="S173" i="18"/>
  <c r="S174" i="18" s="1"/>
  <c r="S175" i="18" s="1"/>
  <c r="V172" i="18"/>
  <c r="R29" i="32"/>
  <c r="S29" i="32"/>
  <c r="K213" i="20"/>
  <c r="J213" i="20"/>
  <c r="I213" i="20"/>
  <c r="G212" i="20"/>
  <c r="E135" i="13"/>
  <c r="G136" i="13"/>
  <c r="Q29" i="32"/>
  <c r="W172" i="18" l="1"/>
  <c r="X172" i="18"/>
  <c r="V173" i="18"/>
  <c r="I212" i="20"/>
  <c r="K212" i="20"/>
  <c r="G211" i="20"/>
  <c r="J212" i="20"/>
  <c r="E134" i="13"/>
  <c r="G135" i="13"/>
  <c r="U29" i="32"/>
  <c r="U62" i="32"/>
  <c r="U63" i="32"/>
  <c r="U64" i="32"/>
  <c r="U65" i="32"/>
  <c r="U66" i="32"/>
  <c r="U67" i="32"/>
  <c r="U68" i="32"/>
  <c r="AC28" i="33"/>
  <c r="W173" i="18" l="1"/>
  <c r="X173"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4" i="18" l="1"/>
  <c r="W174"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4"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6"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7" i="18" l="1"/>
  <c r="V175" i="18"/>
  <c r="R70" i="32"/>
  <c r="AC15" i="32" s="1"/>
  <c r="AC16" i="32" s="1"/>
  <c r="J204" i="20"/>
  <c r="G203" i="20"/>
  <c r="K204" i="20"/>
  <c r="I204" i="20"/>
  <c r="E126" i="13"/>
  <c r="G127" i="13"/>
  <c r="K28" i="32"/>
  <c r="V176" i="18" l="1"/>
  <c r="X176" i="18" s="1"/>
  <c r="W175" i="18"/>
  <c r="X175"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6"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7" i="18" l="1"/>
  <c r="W177" i="18" s="1"/>
  <c r="S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7" i="18" l="1"/>
  <c r="V178" i="18"/>
  <c r="W178" i="18" s="1"/>
  <c r="S179" i="18"/>
  <c r="S180"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1" i="18" l="1"/>
  <c r="V180" i="18"/>
  <c r="X178" i="18"/>
  <c r="V179" i="18"/>
  <c r="G196" i="13"/>
  <c r="G199" i="13" s="1"/>
  <c r="J199" i="20"/>
  <c r="G198" i="20"/>
  <c r="K199" i="20"/>
  <c r="I199" i="20"/>
  <c r="G102" i="13"/>
  <c r="G103" i="13"/>
  <c r="U14" i="32"/>
  <c r="L14" i="32" s="1"/>
  <c r="Q9" i="32"/>
  <c r="R9" i="32"/>
  <c r="Y5" i="33"/>
  <c r="X180" i="18" l="1"/>
  <c r="W180" i="18"/>
  <c r="S182" i="18"/>
  <c r="V182" i="18" s="1"/>
  <c r="V181" i="18"/>
  <c r="W179" i="18"/>
  <c r="X179"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1" i="18" l="1"/>
  <c r="X181" i="18"/>
  <c r="W182" i="18"/>
  <c r="X182"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<sst xmlns="http://schemas.openxmlformats.org/spreadsheetml/2006/main" count="12922" uniqueCount="5426">
  <si>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</si>
  <si>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</si>
  <si>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</si>
  <si>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</si>
  <si>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</si>
  <si>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</si>
  <si>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</si>
  <si>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</si>
  <si>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</si>
  <si>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</si>
  <si>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</si>
  <si>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</si>
  <si>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</si>
  <si>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</si>
  <si>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</si>
  <si>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</si>
  <si>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</si>
  <si>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</si>
  <si>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</si>
  <si>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</si>
  <si>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</si>
  <si>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</si>
  <si>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</si>
  <si>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</si>
  <si>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</si>
  <si>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</si>
  <si>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</si>
  <si>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</si>
  <si>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</si>
  <si>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</si>
  <si>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</si>
  <si>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</si>
  <si>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</si>
  <si>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</si>
  <si>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</si>
  <si>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</si>
  <si>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</si>
  <si>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</si>
  <si>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</si>
  <si>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</si>
  <si>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</si>
  <si>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</si>
  <si>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</si>
  <si>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</si>
  <si>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</si>
  <si>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</si>
  <si>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</si>
  <si>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</si>
  <si>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</si>
  <si>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</si>
  <si>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</si>
  <si>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</si>
  <si>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</si>
  <si>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</si>
  <si>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</si>
  <si>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</si>
  <si>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</si>
  <si>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</si>
  <si>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</si>
  <si>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</si>
  <si>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</si>
  <si>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</si>
  <si>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</si>
  <si>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</si>
  <si>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</si>
  <si>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</si>
  <si>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</si>
  <si>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</si>
  <si>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</si>
  <si>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</si>
  <si>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</si>
  <si>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</si>
  <si>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</si>
  <si>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</si>
  <si>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</si>
  <si>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</si>
  <si>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</si>
  <si>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</si>
  <si>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</si>
  <si>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</si>
  <si>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</si>
  <si>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</si>
  <si>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</si>
  <si>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</si>
  <si>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</si>
  <si>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</si>
  <si>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</si>
  <si>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</si>
  <si>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</si>
  <si>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</si>
  <si>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</si>
  <si>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</si>
  <si>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</si>
  <si>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</si>
  <si>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</si>
  <si>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</si>
  <si>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</si>
  <si>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</si>
  <si>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</si>
  <si>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</si>
  <si>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</si>
  <si>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</si>
  <si>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</si>
  <si>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</si>
  <si>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</si>
  <si>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</si>
  <si>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</si>
  <si>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</si>
  <si>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</si>
  <si>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</si>
  <si>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</si>
  <si>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</si>
  <si>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</si>
  <si>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</si>
  <si>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</si>
  <si>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</si>
  <si>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</si>
  <si>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</si>
  <si>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</si>
  <si>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</si>
  <si>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</si>
  <si>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</si>
  <si>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</si>
  <si>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</si>
  <si>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</si>
  <si>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</si>
  <si>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</si>
  <si>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</si>
  <si>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</si>
  <si>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</si>
  <si>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</si>
  <si>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</si>
  <si>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</si>
  <si>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</si>
  <si>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</si>
  <si>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</si>
  <si>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</si>
  <si>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</si>
  <si>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</si>
  <si>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</si>
  <si>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</si>
  <si>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</si>
  <si>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</si>
  <si>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</si>
  <si>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</si>
  <si>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</si>
  <si>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</si>
  <si>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</si>
  <si>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</si>
  <si>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</si>
  <si>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</si>
  <si>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</si>
  <si>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</si>
  <si>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</si>
  <si>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</si>
  <si>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</si>
  <si>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</si>
  <si>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</si>
  <si>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</si>
  <si>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</si>
  <si>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</si>
  <si>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</si>
  <si>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</si>
  <si>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</si>
  <si>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</si>
  <si>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</si>
  <si>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</si>
  <si>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</si>
  <si>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</si>
  <si>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</si>
  <si>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</si>
  <si>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</si>
  <si>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</si>
  <si>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</si>
  <si>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</si>
  <si>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</si>
  <si>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</si>
  <si>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</si>
  <si>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</si>
  <si>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</si>
  <si>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</si>
  <si>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</si>
  <si>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</si>
  <si>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</si>
  <si>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</si>
  <si>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</si>
  <si>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</si>
  <si>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</si>
  <si>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</si>
  <si>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</si>
  <si>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</si>
  <si>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</si>
  <si>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</si>
  <si>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</si>
  <si>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</si>
  <si>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</si>
  <si>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</si>
  <si>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</si>
  <si>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</si>
  <si>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</si>
  <si>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</si>
  <si>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</si>
  <si>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</si>
  <si>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</si>
  <si>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</si>
  <si>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</si>
  <si>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</si>
  <si>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</si>
  <si>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</si>
  <si>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</si>
  <si>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</si>
  <si>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</si>
  <si>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</si>
  <si>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</si>
  <si>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</si>
  <si>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</si>
  <si>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</si>
  <si>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</si>
  <si>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</si>
  <si>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</si>
  <si>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</si>
  <si>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</si>
  <si>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</si>
  <si>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</si>
  <si>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</si>
  <si>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</si>
  <si>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</si>
  <si>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</si>
  <si>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</si>
  <si>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</si>
  <si>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</si>
  <si>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</si>
  <si>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</si>
  <si>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</si>
  <si>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</si>
  <si>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</si>
  <si>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</si>
  <si>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</si>
  <si>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</si>
  <si>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</si>
  <si>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</si>
  <si>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</si>
  <si>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</si>
  <si>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</si>
  <si>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</si>
  <si>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</si>
  <si>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</si>
  <si>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</si>
  <si>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</si>
  <si>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</si>
  <si>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</si>
  <si>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</si>
  <si>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</si>
  <si>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</si>
  <si>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</si>
  <si>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</si>
  <si>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</si>
  <si>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</si>
  <si>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</si>
  <si>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</si>
  <si>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</si>
  <si>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</si>
  <si>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</si>
  <si>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</si>
  <si>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</si>
  <si>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</si>
  <si>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</si>
  <si>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</si>
  <si>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</si>
  <si>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</si>
  <si>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</si>
  <si>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</si>
  <si>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</si>
  <si>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</si>
  <si>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</si>
  <si>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</si>
  <si>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</si>
  <si>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</si>
  <si>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</si>
  <si>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</si>
  <si>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</si>
  <si>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</si>
  <si>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</si>
  <si>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</si>
  <si>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</si>
  <si>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</si>
  <si>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</si>
  <si>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</si>
  <si>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</si>
  <si>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</si>
  <si>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</si>
  <si>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</si>
  <si>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</si>
  <si>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</si>
  <si>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</si>
  <si>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</si>
  <si>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</si>
  <si>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</si>
  <si>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</si>
  <si>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</si>
  <si>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</si>
  <si>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</si>
  <si>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</si>
  <si>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</si>
  <si>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</si>
  <si>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</si>
  <si>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</si>
  <si>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</si>
  <si>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</si>
  <si>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</si>
  <si>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</si>
  <si>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</si>
  <si>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</si>
  <si>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</si>
  <si>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</si>
  <si>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</si>
  <si>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</si>
  <si>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</si>
  <si>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</si>
  <si>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</si>
  <si>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</si>
  <si>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</si>
  <si>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</si>
  <si>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</si>
  <si>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</si>
  <si>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</si>
  <si>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</si>
  <si>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</si>
  <si>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</si>
  <si>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</si>
  <si>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</si>
  <si>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</si>
  <si>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</si>
  <si>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</si>
  <si>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</si>
  <si>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</si>
  <si>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</si>
  <si>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</si>
  <si>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</si>
  <si>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</si>
  <si>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</si>
  <si>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</si>
  <si>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</si>
  <si>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</si>
  <si>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</si>
  <si>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</si>
  <si>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</si>
  <si>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</si>
  <si>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</si>
  <si>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</si>
  <si>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</si>
  <si>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</si>
  <si>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</si>
  <si>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</si>
  <si>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</si>
  <si>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</si>
  <si>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</si>
  <si>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</si>
  <si>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</si>
  <si>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</si>
  <si>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</si>
  <si>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</si>
  <si>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</si>
  <si>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</si>
  <si>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</si>
  <si>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</si>
  <si>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</si>
  <si>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</si>
  <si>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</si>
  <si>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</si>
  <si>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</si>
  <si>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</si>
  <si>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</si>
  <si>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</si>
  <si>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</si>
  <si>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</si>
  <si>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</si>
  <si>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</si>
  <si>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</si>
  <si>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</si>
  <si>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</si>
  <si>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</si>
  <si>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</si>
  <si>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</si>
  <si>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</si>
  <si>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</si>
  <si>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</si>
  <si>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</si>
  <si>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</si>
  <si>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</si>
  <si>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</si>
  <si>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</si>
  <si>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</si>
  <si>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</si>
  <si>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</si>
  <si>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</si>
  <si>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</si>
  <si>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</si>
  <si>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</si>
  <si>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</si>
  <si>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</si>
  <si>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</si>
  <si>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</si>
  <si>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</si>
  <si>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</si>
  <si>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</si>
  <si>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</si>
  <si>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</si>
  <si>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</si>
  <si>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</si>
  <si>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</si>
  <si>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</si>
  <si>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</si>
  <si>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</si>
  <si>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</si>
  <si>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</si>
  <si>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</si>
  <si>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</si>
  <si>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</si>
  <si>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</si>
  <si>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</si>
  <si>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</si>
  <si>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</si>
  <si>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</si>
  <si>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</si>
  <si>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</si>
  <si>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</si>
  <si>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</si>
  <si>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</si>
  <si>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</si>
  <si>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</si>
  <si>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</si>
  <si>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</si>
  <si>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</si>
  <si>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</si>
  <si>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</si>
  <si>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</si>
  <si>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</si>
  <si>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</si>
  <si>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</si>
  <si>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</si>
  <si>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</si>
  <si>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</si>
  <si>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</si>
  <si>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</si>
  <si>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</si>
  <si>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</si>
  <si>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</si>
  <si>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</si>
  <si>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</si>
  <si>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</si>
  <si>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</si>
  <si>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</si>
  <si>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</si>
  <si>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</si>
  <si>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</si>
  <si>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</si>
  <si>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</si>
  <si>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</si>
  <si>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</si>
  <si>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</si>
  <si>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</si>
  <si>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</si>
  <si>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</si>
  <si>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</si>
  <si>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</si>
  <si>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</si>
  <si>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</si>
  <si>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</si>
  <si>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</si>
  <si>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</si>
  <si>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</si>
  <si>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</si>
  <si>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</si>
  <si>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</si>
  <si>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</si>
  <si>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</si>
  <si>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</si>
  <si>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</si>
  <si>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</si>
  <si>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</si>
  <si>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</si>
  <si>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</si>
  <si>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</si>
  <si>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</si>
  <si>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</si>
  <si>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</si>
  <si>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</si>
  <si>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</si>
  <si>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</si>
  <si>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</si>
  <si>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</si>
  <si>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</si>
  <si>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</si>
  <si>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</si>
  <si>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</si>
  <si>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</si>
  <si>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</si>
  <si>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</si>
  <si>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</si>
  <si>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</si>
  <si>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</si>
  <si>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</si>
  <si>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</si>
  <si>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</si>
  <si>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</si>
  <si>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</si>
  <si>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</si>
  <si>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</si>
  <si>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</si>
  <si>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</si>
  <si>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</si>
  <si>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</si>
  <si>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</si>
  <si>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</si>
  <si>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</si>
  <si>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</si>
  <si>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</si>
  <si>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</si>
  <si>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</si>
  <si>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</si>
  <si>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</si>
  <si>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</si>
  <si>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</si>
  <si>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</si>
  <si>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</si>
  <si>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</si>
  <si>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</si>
  <si>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</si>
  <si>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</si>
  <si>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</si>
  <si>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</si>
  <si>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</si>
  <si>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</si>
  <si>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</si>
  <si>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</si>
  <si>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</si>
  <si>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</si>
  <si>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</si>
  <si>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</si>
  <si>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</si>
  <si>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</si>
  <si>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</si>
  <si>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</si>
  <si>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</si>
  <si>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</si>
  <si>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</si>
  <si>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</si>
  <si>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</si>
  <si>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</si>
  <si>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</si>
  <si>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</si>
  <si>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</si>
  <si>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</si>
  <si>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</si>
  <si>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</si>
  <si>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</si>
  <si>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</si>
  <si>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</si>
  <si>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</si>
  <si>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</si>
  <si>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</si>
  <si>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</si>
  <si>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</si>
  <si>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</si>
  <si>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</si>
  <si>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</si>
  <si>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</si>
  <si>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</si>
  <si>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</si>
  <si>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</si>
  <si>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</si>
  <si>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</si>
  <si>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</si>
  <si>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</si>
  <si>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</si>
  <si>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</si>
  <si>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</si>
  <si>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</si>
  <si>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</si>
  <si>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</si>
  <si>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</si>
  <si>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</si>
  <si>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</si>
  <si>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</si>
  <si>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</si>
  <si>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</si>
  <si>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</si>
  <si>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</si>
  <si>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</si>
  <si>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</si>
  <si>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</si>
  <si>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</si>
  <si>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</si>
  <si>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</si>
  <si>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</si>
  <si>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</si>
  <si>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</si>
  <si>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</si>
  <si>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</si>
  <si>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</si>
  <si>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</si>
  <si>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</si>
  <si>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</si>
  <si>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</si>
  <si>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</si>
  <si>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</si>
  <si>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</si>
  <si>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</si>
  <si>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</si>
  <si>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</si>
  <si>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</si>
  <si>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</si>
  <si>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</si>
  <si>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</si>
  <si>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</si>
  <si>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</si>
  <si>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</si>
  <si>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</si>
  <si>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</si>
  <si>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</si>
  <si>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</si>
  <si>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</si>
  <si>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</si>
  <si>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</si>
  <si>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</si>
  <si>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</si>
  <si>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</si>
  <si>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</si>
  <si>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</si>
  <si>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</si>
  <si>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</si>
  <si>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</si>
  <si>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</si>
  <si>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</si>
  <si>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</si>
  <si>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</si>
  <si>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</si>
  <si>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</si>
  <si>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</si>
  <si>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</si>
  <si>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</si>
  <si>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</si>
  <si>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</si>
  <si>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</si>
  <si>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</si>
  <si>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</si>
  <si>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</si>
  <si>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</si>
  <si>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</si>
  <si>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</si>
  <si>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</si>
  <si>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</si>
  <si>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</si>
  <si>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</si>
  <si>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</si>
  <si>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</si>
  <si>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</si>
  <si>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</si>
  <si>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</si>
  <si>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</si>
  <si>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</si>
  <si>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</si>
  <si>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</si>
  <si>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</si>
  <si>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</si>
  <si>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</si>
  <si>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</si>
  <si>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</si>
  <si>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</si>
  <si>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</si>
  <si>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</si>
  <si>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</si>
  <si>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</si>
  <si>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</si>
  <si>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</si>
  <si>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</si>
  <si>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</si>
  <si>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</si>
  <si>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</si>
  <si>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</si>
  <si>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</si>
  <si>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</si>
  <si>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</si>
  <si>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</si>
  <si>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</si>
  <si>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</si>
  <si>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</si>
  <si>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</si>
  <si>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</si>
  <si>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</si>
  <si>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</si>
  <si>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</si>
  <si>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</si>
  <si>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</si>
  <si>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</si>
  <si>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</si>
  <si>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</si>
  <si>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</si>
  <si>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</si>
  <si>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</si>
  <si>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</si>
  <si>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</si>
  <si>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</si>
  <si>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</si>
  <si>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</si>
  <si>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</si>
  <si>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</si>
  <si>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</si>
  <si>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</si>
  <si>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</si>
  <si>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</si>
  <si>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</si>
  <si>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</si>
  <si>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</si>
  <si>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</si>
  <si>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</si>
  <si>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</si>
  <si>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</si>
  <si>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</si>
  <si>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</si>
  <si>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</si>
  <si>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</si>
  <si>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</si>
  <si>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</si>
  <si>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</si>
  <si>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</si>
  <si>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</si>
  <si>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</si>
  <si>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</si>
  <si>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</si>
  <si>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</si>
  <si>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</si>
  <si>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</si>
  <si>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</si>
  <si>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</si>
  <si>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</si>
  <si>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</si>
  <si>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</si>
  <si>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</si>
  <si>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</si>
  <si>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</si>
  <si>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</si>
  <si>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</si>
  <si>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</si>
  <si>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</si>
  <si>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</si>
  <si>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</si>
  <si>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</si>
  <si>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</si>
  <si>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</si>
  <si>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</si>
  <si>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</si>
  <si>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</si>
  <si>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</si>
  <si>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</si>
  <si>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</si>
  <si>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</si>
  <si>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</si>
  <si>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</si>
  <si>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</si>
  <si>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</si>
  <si>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</si>
  <si>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</si>
  <si>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</si>
  <si>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</si>
  <si>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</si>
  <si>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</si>
  <si>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</si>
  <si>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</si>
  <si>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</si>
  <si>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</si>
  <si>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</si>
  <si>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</si>
  <si>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</si>
  <si>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</si>
  <si>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</si>
  <si>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</si>
  <si>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</si>
  <si>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</si>
  <si>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</si>
  <si>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</si>
  <si>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</si>
  <si>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</si>
  <si>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</si>
  <si>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</si>
  <si>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</si>
  <si>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</si>
  <si>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</si>
  <si>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</si>
  <si>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</si>
  <si>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</si>
  <si>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</si>
  <si>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</si>
  <si>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</si>
  <si>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</si>
  <si>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</si>
  <si>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</si>
  <si>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</si>
  <si>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</si>
  <si>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</si>
  <si>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</si>
  <si>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</si>
  <si>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</si>
  <si>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</si>
  <si>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</si>
  <si>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</si>
  <si>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</si>
  <si>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</si>
  <si>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</si>
  <si>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</si>
  <si>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</si>
  <si>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</si>
  <si>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</si>
  <si>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</si>
  <si>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</si>
  <si>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</si>
  <si>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</si>
  <si>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</si>
  <si>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</si>
  <si>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</si>
  <si>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</si>
  <si>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</si>
  <si>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</si>
  <si>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</si>
  <si>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</si>
  <si>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</si>
  <si>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</si>
  <si>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</si>
  <si>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</si>
  <si>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</si>
  <si>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</si>
  <si>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</si>
  <si>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</si>
  <si>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</si>
  <si>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</si>
  <si>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</si>
  <si>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</si>
  <si>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</si>
  <si>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</si>
  <si>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</si>
  <si>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</si>
  <si>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</si>
  <si>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</si>
  <si>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</si>
  <si>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</si>
  <si>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</si>
  <si>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</si>
  <si>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</si>
  <si>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</si>
  <si>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</si>
  <si>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</si>
  <si>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</si>
  <si>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</si>
  <si>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</si>
  <si>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</si>
  <si>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</si>
  <si>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</si>
  <si>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</si>
  <si>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</si>
  <si>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</si>
  <si>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</si>
  <si>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</si>
  <si>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</si>
  <si>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</si>
  <si>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</si>
  <si>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</si>
  <si>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</si>
  <si>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</si>
  <si>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</si>
  <si>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</si>
  <si>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</si>
  <si>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</si>
  <si>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</si>
  <si>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</si>
  <si>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</si>
  <si>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</si>
  <si>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</si>
  <si>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</si>
  <si>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</si>
  <si>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</si>
  <si>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</si>
  <si>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</si>
  <si>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</si>
  <si>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</si>
  <si>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</si>
  <si>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</si>
  <si>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</si>
  <si>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</si>
  <si>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</si>
  <si>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</si>
  <si>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</si>
  <si>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</si>
  <si>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</si>
  <si>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</si>
  <si>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</si>
  <si>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</si>
  <si>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</si>
  <si>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</si>
  <si>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</si>
  <si>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</si>
  <si>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</si>
  <si>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</si>
  <si>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</si>
  <si>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</si>
  <si>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</si>
  <si>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</si>
  <si>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</si>
  <si>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</si>
  <si>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</si>
  <si>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</si>
  <si>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</si>
  <si>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</si>
  <si>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</si>
  <si>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</si>
  <si>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</si>
  <si>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</si>
  <si>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</si>
  <si>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</si>
  <si>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</si>
  <si>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</si>
  <si>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</si>
  <si>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</si>
  <si>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</si>
  <si>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</si>
  <si>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</si>
  <si>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</si>
  <si>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</si>
  <si>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</si>
  <si>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</si>
  <si>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</si>
  <si>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</si>
  <si>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</si>
  <si>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</si>
  <si>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</si>
  <si>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</si>
  <si>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</si>
  <si>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</si>
  <si>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</si>
  <si>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</si>
  <si>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</si>
  <si>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</si>
  <si>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</si>
  <si>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</si>
  <si>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</si>
  <si>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</si>
  <si>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</si>
  <si>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</si>
  <si>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</si>
  <si>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</si>
  <si>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</si>
  <si>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</si>
  <si>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</si>
  <si>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</si>
  <si>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</si>
  <si>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</si>
  <si>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</si>
  <si>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</si>
  <si>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</si>
  <si>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</si>
  <si>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</si>
  <si>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</si>
  <si>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</si>
  <si>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</si>
  <si>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</si>
  <si>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</si>
  <si>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</si>
  <si>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</si>
  <si>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</si>
  <si>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</si>
  <si>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</si>
  <si>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</si>
  <si>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</si>
  <si>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</si>
  <si>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</si>
  <si>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</si>
  <si>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</si>
  <si>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</si>
  <si>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</si>
  <si>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</si>
  <si>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</si>
  <si>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</si>
  <si>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</si>
  <si>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</si>
  <si>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</si>
  <si>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</si>
  <si>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</si>
  <si>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</si>
  <si>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</si>
  <si>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</si>
  <si>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</si>
  <si>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</si>
  <si>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</si>
  <si>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</si>
  <si>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</si>
  <si>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</si>
  <si>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</si>
  <si>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</si>
  <si>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</si>
  <si>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</si>
  <si>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</si>
  <si>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</si>
  <si>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</si>
  <si>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</si>
  <si>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</si>
  <si>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</si>
  <si>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</si>
  <si>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</si>
  <si>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</si>
  <si>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</si>
  <si>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</si>
  <si>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</si>
  <si>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</si>
  <si>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</si>
  <si>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</si>
  <si>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</si>
  <si>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</si>
  <si>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</si>
  <si>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</si>
  <si>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</si>
  <si>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</si>
  <si>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</si>
  <si>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</si>
  <si>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</si>
  <si>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</si>
  <si>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</si>
  <si>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</si>
  <si>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</si>
  <si>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</si>
  <si>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</si>
  <si>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</si>
  <si>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</si>
  <si>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</si>
  <si>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</si>
  <si>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</si>
  <si>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</si>
  <si>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</si>
  <si>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</si>
  <si>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</si>
  <si>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</si>
  <si>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</si>
  <si>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</si>
  <si>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</si>
  <si>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</si>
  <si>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</si>
  <si>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</si>
  <si>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</si>
  <si>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</si>
  <si>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</si>
  <si>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</si>
  <si>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</si>
  <si>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</si>
  <si>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</si>
  <si>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</si>
  <si>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</si>
  <si>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</si>
  <si>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</si>
  <si>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</si>
  <si>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</si>
  <si>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</si>
  <si>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</si>
  <si>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</si>
  <si>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</si>
  <si>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</si>
  <si>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</si>
  <si>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</si>
  <si>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</si>
  <si>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</si>
  <si>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</si>
  <si>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</si>
  <si>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</si>
  <si>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</si>
  <si>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</si>
  <si>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</si>
  <si>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</si>
  <si>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</si>
  <si>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</si>
  <si>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</si>
  <si>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</si>
  <si>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</si>
  <si>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</si>
  <si>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</si>
  <si>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</si>
  <si>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</si>
  <si>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</si>
  <si>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</si>
  <si>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</si>
  <si>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</si>
  <si>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</si>
  <si>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</si>
  <si>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</si>
  <si>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</si>
  <si>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</si>
  <si>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</si>
  <si>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</si>
  <si>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</si>
  <si>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</si>
  <si>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</si>
  <si>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</si>
  <si>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</si>
  <si>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</si>
  <si>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</si>
  <si>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</si>
  <si>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</si>
  <si>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</si>
  <si>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</si>
  <si>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</si>
  <si>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</si>
  <si>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</si>
  <si>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</si>
  <si>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</si>
  <si>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</si>
  <si>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</si>
  <si>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</si>
  <si>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</si>
  <si>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</si>
  <si>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</si>
  <si>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</si>
  <si>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</si>
  <si>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</si>
  <si>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</si>
  <si>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</si>
  <si>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</si>
  <si>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</si>
  <si>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</si>
  <si>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</si>
  <si>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</si>
  <si>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</si>
  <si>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</si>
  <si>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</si>
  <si>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</si>
  <si>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</si>
  <si>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</si>
  <si>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</si>
  <si>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</si>
  <si>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</si>
  <si>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</si>
  <si>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</si>
  <si>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</si>
  <si>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</si>
  <si>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</si>
  <si>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</si>
  <si>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</si>
  <si>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</si>
  <si>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</si>
  <si>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</si>
  <si>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</si>
  <si>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</si>
  <si>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</si>
  <si>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</si>
  <si>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</si>
  <si>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</si>
  <si>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</si>
  <si>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</si>
  <si>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</si>
  <si>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</si>
  <si>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</si>
  <si>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</si>
  <si>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</si>
  <si>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</si>
  <si>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</si>
  <si>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</si>
  <si>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</si>
  <si>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</si>
  <si>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</si>
  <si>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</si>
  <si>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</si>
  <si>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</si>
  <si>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</si>
  <si>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</si>
  <si>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</si>
  <si>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</si>
  <si>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</si>
  <si>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</si>
  <si>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</si>
  <si>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</si>
  <si>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</si>
  <si>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</si>
  <si>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</si>
  <si>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</si>
  <si>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</si>
  <si>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</si>
  <si>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</si>
  <si>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</si>
  <si>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</si>
  <si>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</si>
  <si>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</si>
  <si>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</si>
  <si>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</si>
  <si>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</si>
  <si>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</si>
  <si>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</si>
  <si>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</si>
  <si>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</si>
  <si>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</si>
  <si>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</si>
  <si>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</si>
  <si>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</si>
  <si>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</si>
  <si>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</si>
  <si>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</si>
  <si>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</si>
  <si>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</si>
  <si>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</si>
  <si>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</si>
  <si>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</si>
  <si>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</si>
  <si>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</si>
  <si>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</si>
  <si>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</si>
  <si>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</si>
  <si>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</si>
  <si>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</si>
  <si>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</si>
  <si>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</si>
  <si>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</si>
  <si>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</si>
  <si>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</si>
  <si>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</si>
  <si>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</si>
  <si>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</si>
  <si>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</si>
  <si>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</si>
  <si>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</si>
  <si>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</si>
  <si>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</si>
  <si>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</si>
  <si>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</si>
  <si>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</si>
  <si>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</si>
  <si>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</si>
  <si>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</si>
  <si>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</si>
  <si>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</si>
  <si>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</si>
  <si>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</si>
  <si>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</si>
  <si>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</si>
  <si>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</si>
  <si>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</si>
  <si>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</si>
  <si>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</si>
  <si>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</si>
  <si>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</si>
  <si>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</si>
  <si>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</si>
  <si>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</si>
  <si>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</si>
  <si>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</si>
  <si>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</si>
  <si>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</si>
  <si>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</si>
  <si>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</si>
  <si>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</si>
  <si>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</si>
  <si>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</si>
  <si>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</si>
  <si>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</si>
  <si>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</si>
  <si>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</si>
  <si>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</si>
  <si>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</si>
  <si>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</si>
  <si>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</si>
  <si>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</si>
  <si>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</si>
  <si>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</si>
  <si>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</si>
  <si>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</si>
  <si>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</si>
  <si>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</si>
  <si>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</si>
  <si>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</si>
  <si>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</si>
  <si>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</si>
  <si>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</si>
  <si>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</si>
  <si>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</si>
  <si>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</si>
  <si>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</si>
  <si>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</si>
  <si>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</si>
  <si>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</si>
  <si>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</si>
  <si>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</si>
  <si>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</si>
  <si>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</si>
  <si>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</si>
  <si>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</si>
  <si>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</si>
  <si>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</si>
  <si>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</si>
  <si>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</si>
  <si>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</si>
  <si>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</si>
  <si>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</si>
  <si>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</si>
  <si>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</si>
  <si>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</si>
  <si>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</si>
  <si>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</si>
  <si>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</si>
  <si>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</si>
  <si>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</si>
  <si>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</si>
  <si>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</si>
  <si>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</si>
  <si>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</si>
  <si>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</si>
  <si>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</si>
  <si>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</si>
  <si>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</si>
  <si>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</si>
  <si>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</si>
  <si>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</si>
  <si>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</si>
  <si>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</si>
  <si>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</si>
  <si>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</si>
  <si>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</si>
  <si>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</si>
  <si>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</si>
  <si>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</si>
  <si>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</si>
  <si>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</si>
  <si>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</si>
  <si>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</si>
  <si>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</si>
  <si>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</si>
  <si>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</si>
  <si>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</si>
  <si>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</si>
  <si>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</si>
  <si>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</si>
  <si>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</si>
  <si>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</si>
  <si>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</si>
  <si>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</si>
  <si>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</si>
  <si>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</si>
  <si>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</si>
  <si>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</si>
  <si>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</si>
  <si>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</si>
  <si>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</si>
  <si>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</si>
  <si>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</si>
  <si>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</si>
  <si>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</si>
  <si>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</si>
  <si>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</si>
  <si>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</si>
  <si>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</si>
  <si>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</si>
  <si>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</si>
  <si>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</si>
  <si>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</si>
  <si>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</si>
  <si>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</si>
  <si>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</si>
  <si>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</si>
  <si>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</si>
  <si>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</si>
  <si>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</si>
  <si>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</si>
  <si>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</si>
  <si>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</si>
  <si>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</si>
  <si>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</si>
  <si>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</si>
  <si>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</si>
  <si>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</si>
  <si>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</si>
  <si>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</si>
  <si>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</si>
  <si>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</si>
  <si>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</si>
  <si>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</si>
  <si>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</si>
  <si>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</si>
  <si>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</si>
  <si>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</si>
  <si>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</si>
  <si>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</si>
  <si>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</si>
  <si>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</si>
  <si>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</si>
  <si>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</si>
  <si>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</si>
  <si>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</si>
  <si>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</si>
  <si>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</si>
  <si>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</si>
  <si>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</si>
  <si>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</si>
  <si>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</si>
  <si>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</si>
  <si>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</si>
  <si>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</si>
  <si>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</si>
  <si>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</si>
  <si>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</si>
  <si>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</si>
  <si>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</si>
  <si>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</si>
  <si>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</si>
  <si>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</si>
  <si>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</si>
  <si>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</si>
  <si>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</si>
  <si>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</si>
  <si>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</si>
  <si>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</si>
  <si>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</si>
  <si>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</si>
  <si>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</si>
  <si>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</si>
  <si>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</si>
  <si>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</si>
  <si>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</si>
  <si>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</si>
  <si>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</si>
  <si>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</si>
  <si>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</si>
  <si>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</si>
  <si>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</si>
  <si>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</si>
  <si>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</si>
  <si>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</si>
  <si>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</si>
  <si>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</si>
  <si>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</si>
  <si>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</si>
  <si>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</si>
  <si>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</si>
  <si>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</si>
  <si>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</si>
  <si>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</si>
  <si>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</si>
  <si>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</si>
  <si>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</si>
  <si>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</si>
  <si>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</si>
  <si>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</si>
  <si>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</si>
  <si>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</si>
  <si>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</si>
  <si>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</si>
  <si>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</si>
  <si>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</si>
  <si>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</si>
  <si>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</si>
  <si>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</si>
  <si>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</si>
  <si>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</si>
  <si>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</si>
  <si>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</si>
  <si>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</si>
  <si>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</si>
  <si>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</si>
  <si>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</si>
  <si>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</si>
  <si>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</si>
  <si>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</si>
  <si>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</si>
  <si>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</si>
  <si>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</si>
  <si>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</si>
  <si>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</si>
  <si>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</si>
  <si>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</si>
  <si>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</si>
  <si>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</si>
  <si>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</si>
  <si>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</si>
  <si>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</si>
  <si>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</si>
  <si>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</si>
  <si>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</si>
  <si>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</si>
  <si>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</si>
  <si>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</si>
  <si>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</si>
  <si>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</si>
  <si>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</si>
  <si>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</si>
  <si>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</si>
  <si>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</si>
  <si>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</si>
  <si>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</si>
  <si>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</si>
  <si>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</si>
  <si>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</si>
  <si>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</si>
  <si>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</si>
  <si>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</si>
  <si>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</si>
  <si>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</si>
  <si>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</si>
  <si>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</si>
  <si>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</si>
  <si>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</si>
  <si>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</si>
  <si>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</si>
  <si>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</si>
  <si>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</si>
  <si>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</si>
  <si>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</si>
  <si>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</si>
  <si>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</si>
  <si>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</si>
  <si>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</si>
  <si>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</si>
  <si>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</si>
  <si>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</si>
  <si>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</si>
  <si>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</si>
  <si>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</si>
  <si>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</si>
  <si>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</si>
  <si>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</si>
  <si>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</si>
  <si>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</si>
  <si>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</si>
  <si>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</si>
  <si>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</si>
  <si>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</si>
  <si>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</si>
  <si>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</si>
  <si>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</si>
  <si>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</si>
  <si>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</si>
  <si>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</si>
  <si>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</si>
  <si>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</si>
  <si>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</si>
  <si>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</si>
  <si>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</si>
  <si>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</si>
  <si>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</si>
  <si>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</si>
  <si>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</si>
  <si>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</si>
  <si>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</si>
  <si>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</si>
  <si>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</si>
  <si>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</si>
  <si>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</si>
  <si>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</si>
  <si>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</si>
  <si>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</si>
  <si>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</si>
  <si>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</si>
  <si>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</si>
  <si>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</si>
  <si>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</si>
  <si>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</si>
  <si>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</si>
  <si>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</si>
  <si>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</si>
  <si>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</si>
  <si>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</si>
  <si>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</si>
  <si>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</si>
  <si>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</si>
  <si>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</si>
  <si>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</si>
  <si>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</si>
  <si>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</si>
  <si>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</si>
  <si>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</si>
  <si>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</si>
  <si>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</si>
  <si>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</si>
  <si>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</si>
  <si>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</si>
  <si>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</si>
  <si>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</si>
  <si>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</si>
  <si>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</si>
  <si>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</si>
  <si>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</si>
  <si>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</si>
  <si>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</si>
  <si>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</si>
  <si>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</si>
  <si>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</si>
  <si>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</si>
  <si>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</si>
  <si>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</si>
  <si>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</si>
  <si>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</si>
  <si>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</si>
  <si>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</si>
  <si>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</si>
  <si>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</si>
  <si>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</si>
  <si>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</si>
  <si>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</si>
  <si>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</si>
  <si>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</si>
  <si>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</si>
  <si>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</si>
  <si>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</si>
  <si>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</si>
  <si>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</si>
  <si>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</si>
  <si>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</si>
  <si>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</si>
  <si>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</si>
  <si>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</si>
  <si>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</si>
  <si>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</si>
  <si>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</si>
  <si>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</si>
  <si>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</si>
  <si>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</si>
  <si>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</si>
  <si>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</si>
  <si>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</si>
  <si>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</si>
  <si>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</si>
  <si>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</si>
  <si>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</si>
  <si>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</si>
  <si>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</si>
  <si>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</si>
  <si>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</si>
  <si>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</si>
  <si>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</si>
  <si>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</si>
  <si>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</si>
  <si>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</si>
  <si>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</si>
  <si>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</si>
  <si>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</si>
  <si>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</si>
  <si>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</si>
  <si>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</si>
  <si>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</si>
  <si>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</si>
  <si>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</si>
  <si>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</si>
  <si>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</si>
  <si>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</si>
  <si>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</si>
  <si>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</si>
  <si>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</si>
  <si>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</si>
  <si>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</si>
  <si>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</si>
  <si>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</si>
  <si>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</si>
  <si>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</si>
  <si>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</si>
  <si>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</si>
  <si>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</si>
  <si>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</si>
  <si>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</si>
  <si>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</si>
  <si>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</si>
  <si>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</si>
  <si>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</si>
  <si>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</si>
  <si>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</si>
  <si>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</si>
  <si>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</si>
  <si>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</si>
  <si>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</si>
  <si>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</si>
  <si>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</si>
  <si>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</si>
  <si>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</si>
  <si>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</si>
  <si>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</si>
  <si>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</si>
  <si>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</si>
  <si>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</si>
  <si>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</si>
  <si>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</si>
  <si>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</si>
  <si>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</si>
  <si>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</si>
  <si>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</si>
  <si>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</si>
  <si>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</si>
  <si>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</si>
  <si>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</si>
  <si>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</si>
  <si>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</si>
  <si>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</si>
  <si>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</si>
  <si>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</si>
  <si>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</si>
  <si>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</si>
  <si>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</si>
  <si>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</si>
  <si>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</si>
  <si>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</si>
  <si>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</si>
  <si>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</si>
  <si>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</si>
  <si>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</si>
  <si>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</si>
  <si>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</si>
  <si>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</si>
  <si>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</si>
  <si>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</si>
  <si>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</si>
  <si>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</si>
  <si>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</si>
  <si>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</si>
  <si>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</si>
  <si>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</si>
  <si>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</si>
  <si>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</si>
  <si>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</si>
  <si>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</si>
  <si>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</si>
  <si>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</si>
  <si>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</si>
  <si>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</si>
  <si>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</si>
  <si>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</si>
  <si>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</si>
  <si>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</si>
  <si>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</si>
  <si>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</si>
  <si>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</si>
  <si>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</si>
  <si>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</si>
  <si>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</si>
  <si>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</si>
  <si>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</si>
  <si>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</si>
  <si>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</si>
  <si>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</si>
  <si>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</si>
  <si>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</si>
  <si>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</si>
  <si>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</si>
  <si>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</si>
  <si>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</si>
  <si>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</si>
  <si>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</si>
  <si>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</si>
  <si>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</si>
  <si>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</si>
  <si>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</si>
  <si>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</si>
  <si>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</si>
  <si>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</si>
  <si>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</si>
  <si>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</si>
  <si>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</si>
  <si>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</si>
  <si>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</si>
  <si>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</si>
  <si>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</si>
  <si>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</si>
  <si>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</si>
  <si>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</si>
  <si>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</si>
  <si>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</si>
  <si>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</si>
  <si>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</si>
  <si>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</si>
  <si>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</si>
  <si>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</si>
  <si>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</si>
  <si>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</si>
  <si>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</si>
  <si>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</si>
  <si>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</si>
  <si>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</si>
  <si>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</si>
  <si>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</si>
  <si>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</si>
  <si>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</si>
  <si>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</si>
  <si>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</si>
  <si>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</si>
  <si>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</si>
  <si>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</si>
  <si>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</si>
  <si>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</si>
  <si>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</si>
  <si>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</si>
  <si>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</si>
  <si>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</si>
  <si>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</si>
  <si>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</si>
  <si>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</si>
  <si>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</si>
  <si>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</si>
  <si>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</si>
  <si>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</si>
  <si>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</si>
  <si>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</si>
  <si>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</si>
  <si>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</si>
  <si>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</si>
  <si>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</si>
  <si>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</si>
  <si>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</si>
  <si>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</si>
  <si>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</si>
  <si>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</si>
  <si>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</si>
  <si>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</si>
  <si>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</si>
  <si>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</si>
  <si>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</si>
  <si>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</si>
  <si>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</si>
  <si>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</si>
  <si>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</si>
  <si>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</si>
  <si>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</si>
  <si>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</si>
  <si>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</si>
  <si>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</si>
  <si>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</si>
  <si>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</si>
  <si>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</si>
  <si>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</si>
  <si>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</si>
  <si>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</si>
  <si>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</si>
  <si>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</si>
  <si>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</si>
  <si>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</si>
  <si>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</si>
  <si>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</si>
  <si>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</si>
  <si>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</si>
  <si>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</si>
  <si>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</si>
  <si>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</si>
  <si>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</si>
  <si>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</si>
  <si>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</si>
  <si>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</si>
  <si>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</si>
  <si>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</si>
  <si>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</si>
  <si>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</si>
  <si>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</si>
  <si>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</si>
  <si>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</si>
  <si>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</si>
  <si>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</si>
  <si>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</si>
  <si>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</si>
  <si>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</si>
  <si>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</si>
  <si>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</si>
  <si>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</si>
  <si>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</si>
  <si>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</si>
  <si>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</si>
  <si>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</si>
  <si>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</si>
  <si>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</si>
  <si>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</si>
  <si>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</si>
  <si>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</si>
  <si>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</si>
  <si>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</si>
  <si>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</si>
  <si>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</si>
  <si>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</si>
  <si>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</si>
  <si>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</si>
  <si>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</si>
  <si>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</si>
  <si>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</si>
  <si>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</si>
  <si>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</si>
  <si>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</si>
  <si>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</si>
  <si>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</si>
  <si>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</si>
  <si>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</si>
  <si>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</si>
  <si>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</si>
  <si>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</si>
  <si>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</si>
  <si>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</si>
  <si>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</si>
  <si>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</si>
  <si>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</si>
  <si>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</si>
  <si>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</si>
  <si>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</si>
  <si>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</si>
  <si>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</si>
  <si>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</si>
  <si>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</si>
  <si>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</si>
  <si>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</si>
  <si>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</si>
  <si>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</si>
  <si>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</si>
  <si>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</si>
  <si>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</si>
  <si>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</si>
  <si>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</si>
  <si>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</si>
  <si>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</si>
  <si>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</si>
  <si>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</si>
  <si>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</si>
  <si>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</si>
  <si>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</si>
  <si>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</si>
  <si>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</si>
  <si>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</si>
  <si>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</si>
  <si>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</si>
  <si>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</si>
  <si>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</si>
  <si>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</si>
  <si>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</si>
  <si>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</si>
  <si>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</si>
  <si>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</si>
  <si>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</si>
  <si>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</si>
  <si>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</si>
  <si>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</si>
  <si>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</si>
  <si>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</si>
  <si>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</si>
  <si>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</si>
  <si>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</si>
  <si>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</si>
  <si>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</si>
  <si>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</si>
  <si>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</si>
  <si>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</si>
  <si>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</si>
  <si>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</si>
  <si>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</si>
  <si>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</si>
  <si>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</si>
  <si>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</si>
  <si>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</si>
  <si>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</si>
  <si>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</si>
  <si>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</si>
  <si>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</si>
  <si>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</si>
  <si>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</si>
  <si>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</si>
  <si>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</si>
  <si>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</si>
  <si>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</si>
  <si>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</si>
  <si>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</si>
  <si>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</si>
  <si>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</si>
  <si>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</si>
  <si>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</si>
  <si>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</si>
  <si>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</si>
  <si>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</si>
  <si>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</si>
  <si>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</si>
  <si>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</si>
  <si>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</si>
  <si>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</si>
  <si>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</si>
  <si>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</si>
  <si>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</si>
  <si>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</si>
  <si>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</si>
  <si>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</si>
  <si>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</si>
  <si>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</si>
  <si>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</si>
  <si>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</si>
  <si>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</si>
  <si>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</si>
  <si>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</si>
  <si>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</si>
  <si>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</si>
  <si>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</si>
  <si>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</si>
  <si>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</si>
  <si>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</si>
  <si>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</si>
  <si>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</si>
  <si>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</si>
  <si>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</si>
  <si>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</si>
  <si>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</si>
  <si>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</si>
  <si>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</si>
  <si>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</si>
  <si>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</si>
  <si>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</si>
  <si>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</si>
  <si>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</si>
  <si>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</si>
  <si>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</si>
  <si>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</si>
  <si>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</si>
  <si>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</si>
  <si>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</si>
  <si>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</si>
  <si>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</si>
  <si>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</si>
  <si>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</si>
  <si>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</si>
  <si>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</si>
  <si>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</si>
  <si>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</si>
  <si>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</si>
  <si>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</si>
  <si>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</si>
  <si>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</si>
  <si>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</si>
  <si>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</si>
  <si>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</si>
  <si>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</si>
  <si>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</si>
  <si>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</si>
  <si>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</si>
  <si>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</si>
  <si>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</si>
  <si>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</si>
  <si>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</si>
  <si>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</si>
  <si>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</si>
  <si>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</si>
  <si>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</si>
  <si>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</si>
  <si>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</si>
  <si>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</si>
  <si>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</si>
  <si>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</si>
  <si>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</si>
  <si>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</si>
  <si>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</si>
  <si>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</si>
  <si>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</si>
  <si>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</si>
  <si>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</si>
  <si>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</si>
  <si>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</si>
  <si>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</si>
  <si>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</si>
  <si>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</si>
  <si>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</si>
  <si>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</si>
  <si>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</si>
  <si>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</si>
  <si>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</si>
  <si>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</si>
  <si>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</si>
  <si>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</si>
  <si>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</si>
  <si>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</si>
  <si>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</si>
  <si>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</si>
  <si>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</si>
  <si>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</si>
  <si>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</si>
  <si>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</si>
  <si>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</si>
  <si>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</si>
  <si>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</si>
  <si>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</si>
  <si>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</si>
  <si>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</si>
  <si>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</si>
  <si>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</si>
  <si>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</si>
  <si>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</si>
  <si>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</si>
  <si>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</si>
  <si>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</si>
  <si>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</si>
  <si>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</si>
  <si>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</si>
  <si>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</si>
  <si>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</si>
  <si>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</si>
  <si>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</si>
  <si>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</si>
  <si>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</si>
  <si>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</si>
  <si>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</si>
  <si>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</si>
  <si>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</si>
  <si>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</si>
  <si>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</si>
  <si>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</si>
  <si>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</si>
  <si>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</si>
  <si>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</si>
  <si>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</si>
  <si>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</si>
  <si>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</si>
  <si>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</si>
  <si>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</si>
  <si>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</si>
  <si>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</si>
  <si>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</si>
  <si>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</si>
  <si>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</si>
  <si>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</si>
  <si>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</si>
  <si>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</si>
  <si>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</si>
  <si>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</si>
  <si>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</si>
  <si>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</si>
  <si>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</si>
  <si>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</si>
  <si>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</si>
  <si>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</si>
  <si>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</si>
  <si>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</si>
  <si>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</si>
  <si>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</si>
  <si>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</si>
  <si>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</si>
  <si>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</si>
  <si>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</si>
  <si>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</si>
  <si>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</si>
  <si>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</si>
  <si>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</si>
  <si>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</si>
  <si>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</si>
  <si>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</si>
  <si>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</si>
  <si>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</si>
  <si>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</si>
  <si>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</si>
  <si>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</si>
  <si>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</si>
  <si>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</si>
  <si>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</si>
  <si>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</si>
  <si>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</si>
  <si>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</si>
  <si>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</si>
  <si>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</si>
  <si>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</si>
  <si>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</si>
  <si>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</si>
  <si>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</si>
  <si>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</si>
  <si>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</si>
  <si>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</si>
  <si>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</si>
  <si>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</si>
  <si>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</si>
  <si>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</si>
  <si>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</si>
  <si>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</si>
  <si>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</si>
  <si>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</si>
  <si>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</si>
  <si>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</si>
  <si>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</si>
  <si>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</si>
  <si>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</si>
  <si>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</si>
  <si>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</si>
  <si>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</si>
  <si>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</si>
  <si>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</si>
  <si>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</si>
  <si>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</si>
  <si>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</si>
  <si>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</si>
  <si>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</si>
  <si>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</si>
  <si>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</si>
  <si>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</si>
  <si>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</si>
  <si>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</si>
  <si>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</si>
  <si>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</si>
  <si>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</si>
  <si>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</si>
  <si>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</si>
  <si>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</si>
  <si>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</si>
  <si>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</si>
  <si>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</si>
  <si>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</si>
  <si>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</si>
  <si>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</si>
  <si>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</si>
  <si>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</si>
  <si>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</si>
  <si>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</si>
  <si>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</si>
  <si>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</si>
  <si>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</si>
  <si>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</si>
  <si>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</si>
  <si>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</si>
  <si>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</si>
  <si>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</si>
  <si>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</si>
  <si>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</si>
  <si>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</si>
  <si>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</si>
  <si>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</si>
  <si>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</si>
  <si>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</si>
  <si>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</si>
  <si>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</si>
  <si>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</si>
  <si>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</si>
  <si>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</si>
  <si>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</si>
  <si>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</si>
  <si>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</si>
  <si>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</si>
  <si>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</si>
  <si>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</si>
  <si>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</si>
  <si>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</si>
  <si>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</si>
  <si>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</si>
  <si>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</si>
  <si>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</si>
  <si>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</si>
  <si>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</si>
  <si>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</si>
  <si>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</si>
  <si>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</si>
  <si>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</si>
  <si>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</si>
  <si>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</si>
  <si>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</si>
  <si>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</si>
  <si>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</si>
  <si>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</si>
  <si>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</si>
  <si>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</si>
  <si>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</si>
  <si>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</si>
  <si>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</si>
  <si>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</si>
  <si>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</si>
  <si>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</si>
  <si>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</si>
  <si>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</si>
  <si>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</si>
  <si>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</si>
  <si>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</si>
  <si>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</si>
  <si>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</si>
  <si>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</si>
  <si>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</si>
  <si>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</si>
  <si>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</si>
  <si>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</si>
  <si>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</si>
  <si>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</si>
  <si>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</si>
  <si>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</si>
  <si>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</si>
  <si>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</si>
  <si>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</si>
  <si>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</si>
  <si>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</si>
  <si>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</si>
  <si>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</si>
  <si>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</si>
  <si>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</si>
  <si>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</si>
  <si>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</si>
  <si>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</si>
  <si>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</si>
  <si>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</si>
  <si>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</si>
  <si>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</si>
  <si>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</si>
  <si>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</si>
  <si>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</si>
  <si>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</si>
  <si>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</si>
  <si>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</si>
  <si>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</si>
  <si>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</si>
  <si>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</si>
  <si>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</si>
  <si>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</si>
  <si>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</si>
  <si>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</si>
  <si>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</si>
  <si>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</si>
  <si>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</si>
  <si>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</si>
  <si>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</si>
  <si>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</si>
  <si>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</si>
  <si>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</si>
  <si>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</si>
  <si>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</si>
  <si>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</si>
  <si>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</si>
  <si>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</si>
  <si>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</si>
  <si>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</si>
  <si>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</si>
  <si>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</si>
  <si>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</si>
  <si>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</si>
  <si>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</si>
  <si>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</si>
  <si>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</si>
  <si>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</si>
  <si>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</si>
  <si>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</si>
  <si>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</si>
  <si>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</si>
  <si>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</si>
  <si>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</si>
  <si>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</si>
  <si>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</si>
  <si>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</si>
  <si>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</si>
  <si>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</si>
  <si>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</si>
  <si>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</si>
  <si>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</si>
  <si>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</si>
  <si>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</si>
  <si>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</si>
  <si>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</si>
  <si>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</si>
  <si>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</si>
  <si>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</si>
  <si>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</si>
  <si>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</si>
  <si>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</si>
  <si>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</si>
  <si>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</si>
  <si>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</si>
  <si>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</si>
  <si>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</si>
  <si>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</si>
  <si>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</si>
  <si>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</si>
  <si>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</si>
  <si>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</si>
  <si>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</si>
  <si>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</si>
  <si>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</si>
  <si>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</si>
  <si>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</si>
  <si>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</si>
  <si>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</si>
  <si>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</si>
  <si>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</si>
  <si>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</si>
  <si>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</si>
  <si>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</si>
  <si>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</si>
  <si>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</si>
  <si>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</si>
  <si>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</si>
  <si>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</si>
  <si>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</si>
  <si>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</si>
  <si>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</si>
  <si>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</si>
  <si>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</si>
  <si>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</si>
  <si>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</si>
  <si>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</si>
  <si>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</si>
  <si>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</si>
  <si>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</si>
  <si>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</si>
  <si>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</si>
  <si>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</si>
  <si>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</si>
  <si>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</si>
  <si>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</si>
  <si>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</si>
  <si>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</si>
  <si>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</si>
  <si>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</si>
  <si>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</si>
  <si>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</si>
  <si>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</si>
  <si>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</si>
  <si>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</si>
  <si>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</si>
  <si>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</si>
  <si>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</si>
  <si>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</si>
  <si>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</si>
  <si>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</si>
  <si>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</si>
  <si>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</si>
  <si>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</si>
  <si>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</si>
  <si>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</si>
  <si>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</si>
  <si>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</si>
  <si>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</si>
  <si>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</si>
  <si>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</si>
  <si>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</si>
  <si>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</si>
  <si>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</si>
  <si>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</si>
  <si>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</si>
  <si>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</si>
  <si>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</si>
  <si>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</si>
  <si>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</si>
  <si>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</si>
  <si>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</si>
  <si>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</si>
  <si>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</si>
  <si>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</si>
  <si>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</si>
  <si>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</si>
  <si>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</si>
  <si>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</si>
  <si>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</si>
  <si>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</si>
  <si>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</si>
  <si>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</si>
  <si>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</si>
  <si>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</si>
  <si>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</si>
  <si>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</si>
  <si>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</si>
  <si>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</si>
  <si>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</si>
  <si>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</si>
  <si>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</si>
  <si>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</si>
  <si>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</si>
  <si>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</si>
  <si>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</si>
  <si>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</si>
  <si>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</si>
  <si>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</si>
  <si>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</si>
  <si>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</si>
  <si>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</si>
  <si>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</si>
  <si>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</si>
  <si>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</si>
  <si>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</si>
  <si>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</si>
  <si>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</si>
  <si>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</si>
  <si>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</si>
  <si>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</si>
  <si>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</si>
  <si>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</si>
  <si>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</si>
  <si>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</si>
  <si>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</si>
  <si>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</si>
  <si>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</si>
  <si>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</si>
  <si>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</si>
  <si>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</si>
  <si>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</si>
  <si>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</si>
  <si>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</si>
  <si>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</si>
  <si>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</si>
  <si>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</si>
  <si>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</si>
  <si>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</si>
  <si>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</si>
  <si>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</si>
  <si>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</si>
  <si>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</si>
  <si>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</si>
  <si>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</si>
  <si>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</si>
  <si>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</si>
  <si>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</si>
  <si>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</si>
  <si>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</si>
  <si>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</si>
  <si>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</si>
  <si>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</si>
  <si>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</si>
  <si>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</si>
  <si>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</si>
  <si>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</si>
  <si>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</si>
  <si>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</si>
  <si>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</si>
  <si>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</si>
  <si>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</si>
  <si>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</si>
  <si>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</si>
  <si>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</si>
  <si>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</si>
  <si>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</si>
  <si>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</si>
  <si>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</si>
  <si>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</si>
  <si>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</si>
  <si>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</si>
  <si>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</si>
  <si>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</si>
  <si>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</si>
  <si>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</si>
  <si>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</si>
  <si>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</si>
  <si>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</si>
  <si>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</si>
  <si>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</si>
  <si>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</si>
  <si>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</si>
  <si>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</si>
  <si>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</si>
  <si>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</si>
  <si>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</si>
  <si>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</si>
  <si>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</si>
  <si>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</si>
  <si>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</si>
  <si>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</si>
  <si>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</si>
  <si>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</si>
  <si>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</si>
  <si>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</si>
  <si>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</si>
  <si>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</si>
  <si>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</si>
  <si>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</si>
  <si>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</si>
  <si>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</si>
  <si>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</si>
  <si>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</si>
  <si>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</si>
  <si>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</si>
  <si>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</si>
  <si>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</si>
  <si>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</si>
  <si>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</si>
  <si>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</si>
  <si>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</si>
  <si>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</si>
  <si>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</si>
  <si>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</si>
  <si>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</si>
  <si>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</si>
  <si>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</si>
  <si>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</si>
  <si>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</si>
  <si>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</si>
  <si>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</si>
  <si>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</si>
  <si>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</si>
  <si>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</si>
  <si>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</si>
  <si>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</si>
  <si>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</si>
  <si>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</si>
  <si>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</si>
  <si>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</si>
  <si>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</si>
  <si>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</si>
  <si>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</si>
  <si>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</si>
  <si>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</si>
  <si>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</si>
  <si>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</si>
  <si>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</si>
  <si>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</si>
  <si>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</si>
  <si>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</si>
  <si>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</si>
  <si>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</si>
  <si>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</si>
  <si>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</si>
  <si>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</si>
  <si>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</si>
  <si>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</si>
  <si>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</si>
  <si>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</si>
  <si>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</si>
  <si>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</si>
  <si>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</si>
  <si>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</si>
  <si>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</si>
  <si>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</si>
  <si>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</si>
  <si>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</si>
  <si>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</si>
  <si>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</si>
  <si>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</si>
  <si>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</si>
  <si>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</si>
  <si>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</si>
  <si>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</si>
  <si>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</si>
  <si>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</si>
  <si>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</si>
  <si>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</si>
  <si>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</si>
  <si>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</si>
  <si>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</si>
  <si>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</si>
  <si>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</si>
  <si>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</si>
  <si>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</si>
  <si>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</si>
  <si>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</si>
  <si>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</si>
  <si>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</si>
  <si>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</si>
  <si>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</si>
  <si>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</si>
  <si>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</si>
  <si>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</si>
  <si>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</si>
  <si>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</si>
  <si>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</si>
  <si>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</si>
  <si>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</si>
  <si>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</si>
  <si>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</si>
  <si>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</si>
  <si>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</si>
  <si>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</si>
  <si>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</si>
  <si>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</si>
  <si>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</si>
  <si>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</si>
  <si>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</si>
  <si>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</si>
  <si>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</si>
  <si>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</si>
  <si>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</si>
  <si>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</si>
  <si>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</si>
  <si>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</si>
  <si>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</si>
  <si>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</si>
  <si>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</si>
  <si>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</si>
  <si>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</si>
  <si>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</si>
  <si>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</si>
  <si>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</si>
  <si>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</si>
  <si>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</si>
  <si>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</si>
  <si>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</si>
  <si>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</si>
  <si>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</si>
  <si>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</si>
  <si>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</si>
  <si>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</si>
  <si>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</si>
  <si>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</si>
  <si>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</si>
  <si>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</si>
  <si>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</si>
  <si>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</si>
  <si>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</si>
  <si>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</si>
  <si>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</si>
  <si>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</si>
  <si>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</si>
  <si>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</si>
  <si>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</si>
  <si>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</si>
  <si>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</si>
  <si>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</si>
  <si>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</si>
  <si>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</si>
  <si>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</si>
  <si>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</si>
  <si>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</si>
  <si>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</si>
  <si>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</si>
  <si>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</si>
  <si>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</si>
  <si>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</si>
  <si>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</si>
  <si>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</si>
  <si>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</si>
  <si>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</si>
  <si>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</si>
  <si>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</si>
  <si>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</si>
  <si>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</si>
  <si>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</si>
  <si>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</si>
  <si>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</si>
  <si>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</si>
  <si>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</si>
  <si>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</si>
  <si>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</si>
  <si>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</si>
  <si>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</si>
  <si>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</si>
  <si>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</si>
  <si>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</si>
  <si>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</si>
  <si>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</si>
  <si>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</si>
  <si>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</si>
  <si>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</si>
  <si>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</si>
  <si>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</si>
  <si>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</si>
  <si>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</si>
  <si>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</si>
  <si>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</si>
  <si>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</si>
  <si>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</si>
  <si>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</si>
  <si>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</si>
  <si>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</si>
  <si>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</si>
  <si>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</si>
  <si>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</si>
  <si>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</si>
  <si>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</si>
  <si>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</si>
  <si>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</si>
  <si>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</si>
  <si>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</si>
  <si>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</si>
  <si>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</si>
  <si>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</si>
  <si>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</si>
  <si>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</si>
  <si>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</si>
  <si>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</si>
  <si>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</si>
  <si>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</si>
  <si>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</si>
  <si>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</si>
  <si>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</si>
  <si>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</si>
  <si>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</si>
  <si>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</si>
  <si>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</si>
  <si>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</si>
  <si>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</si>
  <si>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</si>
  <si>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</si>
  <si>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</si>
  <si>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</si>
  <si>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</si>
  <si>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</si>
  <si>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</si>
  <si>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</si>
  <si>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</si>
  <si>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</si>
  <si>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</si>
  <si>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</si>
  <si>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</si>
  <si>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</si>
  <si>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</si>
  <si>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</si>
  <si>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</si>
  <si>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</si>
  <si>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</si>
  <si>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</si>
  <si>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</si>
  <si>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</si>
  <si>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</si>
  <si>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</si>
  <si>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</si>
  <si>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</si>
  <si>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</si>
  <si>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</si>
  <si>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</si>
  <si>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</si>
  <si>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</si>
  <si>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</si>
  <si>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</si>
  <si>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</si>
  <si>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</si>
  <si>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</si>
  <si>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</si>
  <si>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</si>
  <si>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</si>
  <si>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</si>
  <si>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</si>
  <si>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</si>
  <si>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</si>
  <si>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</si>
  <si>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</si>
  <si>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</si>
  <si>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</si>
  <si>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</si>
  <si>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</si>
  <si>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</si>
  <si>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</si>
  <si>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</si>
  <si>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</si>
  <si>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</si>
  <si>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</si>
  <si>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</si>
  <si>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</si>
  <si>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</si>
  <si>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</si>
  <si>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</si>
  <si>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</si>
  <si>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</si>
  <si>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</si>
  <si>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</si>
  <si>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</si>
  <si>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</si>
  <si>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</si>
  <si>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</si>
  <si>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</si>
  <si>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</si>
  <si>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</si>
  <si>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</si>
  <si>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</si>
  <si>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</si>
  <si>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</si>
  <si>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</si>
  <si>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</si>
  <si>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</si>
  <si>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</si>
  <si>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</si>
  <si>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</si>
  <si>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</si>
  <si>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</si>
  <si>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</si>
  <si>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</si>
  <si>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</si>
  <si>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</si>
  <si>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</si>
  <si>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</si>
  <si>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</si>
  <si>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</si>
  <si>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</si>
  <si>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</si>
  <si>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</si>
  <si>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</si>
  <si>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</si>
  <si>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</si>
  <si>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</si>
  <si>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</si>
  <si>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</si>
  <si>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</si>
  <si>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</si>
  <si>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</si>
  <si>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</si>
  <si>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</si>
  <si>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</si>
  <si>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</si>
  <si>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</si>
  <si>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</si>
  <si>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</si>
  <si>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</si>
  <si>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</si>
  <si>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</si>
  <si>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</si>
  <si>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</si>
  <si>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</si>
  <si>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</si>
  <si>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</si>
  <si>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</si>
  <si>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</si>
  <si>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</si>
  <si>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</si>
  <si>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</si>
  <si>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</si>
  <si>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</si>
  <si>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</si>
  <si>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</si>
  <si>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</si>
  <si>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</si>
  <si>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</si>
  <si>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</si>
  <si>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</si>
  <si>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</si>
  <si>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</si>
  <si>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</si>
  <si>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</si>
  <si>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</si>
  <si>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</si>
  <si>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</si>
  <si>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</si>
  <si>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</si>
  <si>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</si>
  <si>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</si>
  <si>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</si>
  <si>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</si>
  <si>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</si>
  <si>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</si>
  <si>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</si>
  <si>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</si>
  <si>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</si>
  <si>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</si>
  <si>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</si>
  <si>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</si>
  <si>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</si>
  <si>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</si>
  <si>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</si>
  <si>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</si>
  <si>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</si>
  <si>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</si>
  <si>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</si>
  <si>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</si>
  <si>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</si>
  <si>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</si>
  <si>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</si>
  <si>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</si>
  <si>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</si>
  <si>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</si>
  <si>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</si>
  <si>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</si>
  <si>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</si>
  <si>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</si>
  <si>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</si>
  <si>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</si>
  <si>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</si>
  <si>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</si>
  <si>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</si>
  <si>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</si>
  <si>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</si>
  <si>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</si>
  <si>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</si>
  <si>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</si>
  <si>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</si>
  <si>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</si>
  <si>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</si>
  <si>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</si>
  <si>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</si>
  <si>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</si>
  <si>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</si>
  <si>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</si>
  <si>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</si>
  <si>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</si>
  <si>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</si>
  <si>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</si>
  <si>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</si>
  <si>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</si>
  <si>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</si>
  <si>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</si>
  <si>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</si>
  <si>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</si>
  <si>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</si>
  <si>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</si>
  <si>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</si>
  <si>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</si>
  <si>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</si>
  <si>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</si>
  <si>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</si>
  <si>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</si>
  <si>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</si>
  <si>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</si>
  <si>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</si>
  <si>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</si>
  <si>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</si>
  <si>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</si>
  <si>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</si>
  <si>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</si>
  <si>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</si>
  <si>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</si>
  <si>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</si>
  <si>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</si>
  <si>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</si>
  <si>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</si>
  <si>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</si>
  <si>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</si>
  <si>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</si>
  <si>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</si>
  <si>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</si>
  <si>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</si>
  <si>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</si>
  <si>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</si>
  <si>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</si>
  <si>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</si>
  <si>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</si>
  <si>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</si>
  <si>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</si>
  <si>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</si>
  <si>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</si>
  <si>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</si>
  <si>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</si>
  <si>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</si>
  <si>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</si>
  <si>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</si>
  <si>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</si>
  <si>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</si>
  <si>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</si>
  <si>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</si>
  <si>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</si>
  <si>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</si>
  <si>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</si>
  <si>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</si>
  <si>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</si>
  <si>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</si>
  <si>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</si>
  <si>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</si>
  <si>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</si>
  <si>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</si>
  <si>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</si>
  <si>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</si>
  <si>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</si>
  <si>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</si>
  <si>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</si>
  <si>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</si>
  <si>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</si>
  <si>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</si>
  <si>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</si>
  <si>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</si>
  <si>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</si>
  <si>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</si>
  <si>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</si>
  <si>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</si>
  <si>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</si>
  <si>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</si>
  <si>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</si>
  <si>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</si>
  <si>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</si>
  <si>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</si>
  <si>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</si>
  <si>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</si>
  <si>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</si>
  <si>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</si>
  <si>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</si>
  <si>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</si>
  <si>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</si>
  <si>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</si>
  <si>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</si>
  <si>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</si>
  <si>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</si>
  <si>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</si>
  <si>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</si>
  <si>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</si>
  <si>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</si>
  <si>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</si>
  <si>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</si>
  <si>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</si>
  <si>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</si>
  <si>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</si>
  <si>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</si>
  <si>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</si>
  <si>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</si>
  <si>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</si>
  <si>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</si>
  <si>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</si>
  <si>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</si>
  <si>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</si>
  <si>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</si>
  <si>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</si>
  <si>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</si>
  <si>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</si>
  <si>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</si>
  <si>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</si>
  <si>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</si>
  <si>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</si>
  <si>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</si>
  <si>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</si>
  <si>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</si>
  <si>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</si>
  <si>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</si>
  <si>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</si>
  <si>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</si>
  <si>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</si>
  <si>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</si>
  <si>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</si>
  <si>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</si>
  <si>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</si>
  <si>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</si>
  <si>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</si>
  <si>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</si>
  <si>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</si>
  <si>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</si>
  <si>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</si>
  <si>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</si>
  <si>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</si>
  <si>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</si>
  <si>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</si>
  <si>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</si>
  <si>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</si>
  <si>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</si>
  <si>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</si>
  <si>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</si>
  <si>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</si>
  <si>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</si>
  <si>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</si>
  <si>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</si>
  <si>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</si>
  <si>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</si>
  <si>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</si>
  <si>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</si>
  <si>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</si>
  <si>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</si>
  <si>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</si>
  <si>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</si>
  <si>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</si>
  <si>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</si>
  <si>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</si>
  <si>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</si>
  <si>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</si>
  <si>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</si>
  <si>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</si>
  <si>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</si>
  <si>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</si>
  <si>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</si>
  <si>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</si>
  <si>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</si>
  <si>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</si>
  <si>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</si>
  <si>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</si>
  <si>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</si>
  <si>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</si>
  <si>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</si>
  <si>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</si>
  <si>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</si>
  <si>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</si>
  <si>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</si>
  <si>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</si>
  <si>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</si>
  <si>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</si>
  <si>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</si>
  <si>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</si>
  <si>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</si>
  <si>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</si>
  <si>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</si>
  <si>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</si>
  <si>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</si>
  <si>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</si>
  <si>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</si>
  <si>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</si>
  <si>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</si>
  <si>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</si>
  <si>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</si>
  <si>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</si>
  <si>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</si>
  <si>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</si>
  <si>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</si>
  <si>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</si>
  <si>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</si>
  <si>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</si>
  <si>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</si>
  <si>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</si>
  <si>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</si>
  <si>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</si>
  <si>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</si>
  <si>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</si>
  <si>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</si>
  <si>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</si>
  <si>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</si>
  <si>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</si>
  <si>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</si>
  <si>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</si>
  <si>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</si>
  <si>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</si>
  <si>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</si>
  <si>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</si>
  <si>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</si>
  <si>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</si>
  <si>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</si>
  <si>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</si>
  <si>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</si>
  <si>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</si>
  <si>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</si>
  <si>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</si>
  <si>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</si>
  <si>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</si>
  <si>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</si>
  <si>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</si>
  <si>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</si>
  <si>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</si>
  <si>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</si>
  <si>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</si>
  <si>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</si>
  <si>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</si>
  <si>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</si>
  <si>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</si>
  <si>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</si>
  <si>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</si>
  <si>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</si>
  <si>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</si>
  <si>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</si>
  <si>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</si>
  <si>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</si>
  <si>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</si>
  <si>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</si>
  <si>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</si>
  <si>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</si>
  <si>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</si>
  <si>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</si>
  <si>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</si>
  <si>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</si>
  <si>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</si>
  <si>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</si>
  <si>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</si>
  <si>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</si>
  <si>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</si>
  <si>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</si>
  <si>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</si>
  <si>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</si>
  <si>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</si>
  <si>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</si>
  <si>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</si>
  <si>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</si>
  <si>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</si>
  <si>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</si>
  <si>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</si>
  <si>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</si>
  <si>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</si>
  <si>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</si>
  <si>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</si>
  <si>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</si>
  <si>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</si>
  <si>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</si>
  <si>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</si>
  <si>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</si>
  <si>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</si>
  <si>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</si>
  <si>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</si>
  <si>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</si>
  <si>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</si>
  <si>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</si>
  <si>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</si>
  <si>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</si>
  <si>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</si>
  <si>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</si>
  <si>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</si>
  <si>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</si>
  <si>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</si>
  <si>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</si>
  <si>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</si>
  <si>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</si>
  <si>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</si>
  <si>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</si>
  <si>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</si>
  <si>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</si>
  <si>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</si>
  <si>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</si>
  <si>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</si>
  <si>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</si>
  <si>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</si>
  <si>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</si>
  <si>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</si>
  <si>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</si>
  <si>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</si>
  <si>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</si>
  <si>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</si>
  <si>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</si>
  <si>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</si>
  <si>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</si>
  <si>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</si>
  <si>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</si>
  <si>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</si>
  <si>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</si>
  <si>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</si>
  <si>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</si>
  <si>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</si>
  <si>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</si>
  <si>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</si>
  <si>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</si>
  <si>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</si>
  <si>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</si>
  <si>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</si>
  <si>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</si>
  <si>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</si>
  <si>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</si>
  <si>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</si>
  <si>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</si>
  <si>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</si>
  <si>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</si>
  <si>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</si>
  <si>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</si>
  <si>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</si>
  <si>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</si>
  <si>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</si>
  <si>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</si>
  <si>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</si>
  <si>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</si>
  <si>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</si>
  <si>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</si>
  <si>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</si>
  <si>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</si>
  <si>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</si>
  <si>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</si>
  <si>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</si>
  <si>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</si>
  <si>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</si>
  <si>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</si>
  <si>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</si>
  <si>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</si>
  <si>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</si>
  <si>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</si>
  <si>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</si>
  <si>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</si>
  <si>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</si>
  <si>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</si>
  <si>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</si>
  <si>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</si>
  <si>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</si>
  <si>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</si>
  <si>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</si>
  <si>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</si>
  <si>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</si>
  <si>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</si>
  <si>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</si>
  <si>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</si>
  <si>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</si>
  <si>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</si>
  <si>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</si>
  <si>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</si>
  <si>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</si>
  <si>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</si>
  <si>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</si>
  <si>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</si>
  <si>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</si>
  <si>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</si>
  <si>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</si>
  <si>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</si>
  <si>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</si>
  <si>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</si>
  <si>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</si>
  <si>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</si>
  <si>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</si>
  <si>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</si>
  <si>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</si>
  <si>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</si>
  <si>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</si>
  <si>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</si>
  <si>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</si>
  <si>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</si>
  <si>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</si>
  <si>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</si>
  <si>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</si>
  <si>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</si>
  <si>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</si>
  <si>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</si>
  <si>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</si>
  <si>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</si>
  <si>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</si>
  <si>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</si>
  <si>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</si>
  <si>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</si>
  <si>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</si>
  <si>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</si>
  <si>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</si>
  <si>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</si>
  <si>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</si>
  <si>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</si>
  <si>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</si>
  <si>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</si>
  <si>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</si>
  <si>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</si>
  <si>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</si>
  <si>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</si>
  <si>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</si>
  <si>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</si>
  <si>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</si>
  <si>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</si>
  <si>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</si>
  <si>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</si>
  <si>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</si>
  <si>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</si>
  <si>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</si>
  <si>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</si>
  <si>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</si>
  <si>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</si>
  <si>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</si>
  <si>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</si>
  <si>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</si>
  <si>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</si>
  <si>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</si>
  <si>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</si>
  <si>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</si>
  <si>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</si>
  <si>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</si>
  <si>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</si>
  <si>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</si>
  <si>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</si>
  <si>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</si>
  <si>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</si>
  <si>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</si>
  <si>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</si>
  <si>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</si>
  <si>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</si>
  <si>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</si>
  <si>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</si>
  <si>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</si>
  <si>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</si>
  <si>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</si>
  <si>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</si>
  <si>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</si>
  <si>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</si>
  <si>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</si>
  <si>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</si>
  <si>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</si>
  <si>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</si>
  <si>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</si>
  <si>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</si>
  <si>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</si>
  <si>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</si>
  <si>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</si>
  <si>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</si>
  <si>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</si>
  <si>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</si>
  <si>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</si>
  <si>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</si>
  <si>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</si>
  <si>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</si>
  <si>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</si>
  <si>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</si>
  <si>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</si>
  <si>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</si>
  <si>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</si>
  <si>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</si>
  <si>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</si>
  <si>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</si>
  <si>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</si>
  <si>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</si>
  <si>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</si>
  <si>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</si>
  <si>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</si>
  <si>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</si>
  <si>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</si>
  <si>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</si>
  <si>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</si>
  <si>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</si>
  <si>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</si>
  <si>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</si>
  <si>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</si>
  <si>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</si>
  <si>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</si>
  <si>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</si>
  <si>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</si>
  <si>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</si>
  <si>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</si>
  <si>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</si>
  <si>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</si>
  <si>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</si>
  <si>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</si>
  <si>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</si>
  <si>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</si>
  <si>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</si>
  <si>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</si>
  <si>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</si>
  <si>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</si>
  <si>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</si>
  <si>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</si>
  <si>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</si>
  <si>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</si>
  <si>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</si>
  <si>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</si>
  <si>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</si>
  <si>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</si>
  <si>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</si>
  <si>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</si>
  <si>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</si>
  <si>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</si>
  <si>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</si>
  <si>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</si>
  <si>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</si>
  <si>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</si>
  <si>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</si>
  <si>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</si>
  <si>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</si>
  <si>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</si>
  <si>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</si>
  <si>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</si>
  <si>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</si>
  <si>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</si>
  <si>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</si>
  <si>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</si>
  <si>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</si>
  <si>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</si>
  <si>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</si>
  <si>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</si>
  <si>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</si>
  <si>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</si>
  <si>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</si>
  <si>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</si>
  <si>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</si>
  <si>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</si>
  <si>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</si>
  <si>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</si>
  <si>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</si>
  <si>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</si>
  <si>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</si>
  <si>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</si>
  <si>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</si>
  <si>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</si>
  <si>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</si>
  <si>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</si>
  <si>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</si>
  <si>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</si>
  <si>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</si>
  <si>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</si>
  <si>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</si>
  <si>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</si>
  <si>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</si>
  <si>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</si>
  <si>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</si>
  <si>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</si>
  <si>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</si>
  <si>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</si>
  <si>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</si>
  <si>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</si>
  <si>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</si>
  <si>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</si>
  <si>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</si>
  <si>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</si>
  <si>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</si>
  <si>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</si>
  <si>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</si>
  <si>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</si>
  <si>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</si>
  <si>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</si>
  <si>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</si>
  <si>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</si>
  <si>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</si>
  <si>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</si>
  <si>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</si>
  <si>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</si>
  <si>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</si>
  <si>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</si>
  <si>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</si>
  <si>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</si>
  <si>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</si>
  <si>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</si>
  <si>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</si>
  <si>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</si>
  <si>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</si>
  <si>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</si>
  <si>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</si>
  <si>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</si>
  <si>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</si>
  <si>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</si>
  <si>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</si>
  <si>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</si>
  <si>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</si>
  <si>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</si>
  <si>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</si>
  <si>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</si>
  <si>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</si>
  <si>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</si>
  <si>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</si>
  <si>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</si>
  <si>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</si>
  <si>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</si>
  <si>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</si>
  <si>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</si>
  <si>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</si>
  <si>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</si>
  <si>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</si>
  <si>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</si>
  <si>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</si>
  <si>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</si>
  <si>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</si>
  <si>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</si>
  <si>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</si>
  <si>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</si>
  <si>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</si>
  <si>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</si>
  <si>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</si>
  <si>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</si>
  <si>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</si>
  <si>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</si>
  <si>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</si>
  <si>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</si>
  <si>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</si>
  <si>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</si>
  <si>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</si>
  <si>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</si>
  <si>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</si>
  <si>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</si>
  <si>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</si>
  <si>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</si>
  <si>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</si>
  <si>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</si>
  <si>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</si>
  <si>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</si>
  <si>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</si>
  <si>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</si>
  <si>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</si>
  <si>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</si>
  <si>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</si>
  <si>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</si>
  <si>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</si>
  <si>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</si>
  <si>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</si>
  <si>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</si>
  <si>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</si>
  <si>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</si>
  <si>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</si>
  <si>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</si>
  <si>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</si>
  <si>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</si>
  <si>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</si>
  <si>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</si>
  <si>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</si>
  <si>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</si>
  <si>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</si>
  <si>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</si>
  <si>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</si>
  <si>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</si>
  <si>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</si>
  <si>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</si>
  <si>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</si>
  <si>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</si>
  <si>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</si>
  <si>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</si>
  <si>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</si>
  <si>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</si>
  <si>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</si>
  <si>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</si>
  <si>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</si>
  <si>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</si>
  <si>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</si>
  <si>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</si>
  <si>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</si>
  <si>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</si>
  <si>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</si>
  <si>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</si>
  <si>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</si>
  <si>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</si>
  <si>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</si>
  <si>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</si>
  <si>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</si>
  <si>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</si>
  <si>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</si>
  <si>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</si>
  <si>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</si>
  <si>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</si>
  <si>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</si>
  <si>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</si>
  <si>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</si>
  <si>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</si>
  <si>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</si>
  <si>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</si>
  <si>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</si>
  <si>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</si>
  <si>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</si>
  <si>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</si>
  <si>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</si>
  <si>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</si>
  <si>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</si>
  <si>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</si>
  <si>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</si>
  <si>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</si>
  <si>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</si>
  <si>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</si>
  <si>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</si>
  <si>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</si>
  <si>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</si>
  <si>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</si>
  <si>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</si>
  <si>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</si>
  <si>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</si>
  <si>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</si>
  <si>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</si>
  <si>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</si>
  <si>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</si>
  <si>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</si>
  <si>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</si>
  <si>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</si>
  <si>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</si>
  <si>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</si>
  <si>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</si>
  <si>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</si>
  <si>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</si>
  <si>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</si>
  <si>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</si>
  <si>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</si>
  <si>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</si>
  <si>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</si>
  <si>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</si>
  <si>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</si>
  <si>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</si>
  <si>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</si>
  <si>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</si>
  <si>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</si>
  <si>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</si>
  <si>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</si>
  <si>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</si>
  <si>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</si>
  <si>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</si>
  <si>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</si>
  <si>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</si>
  <si>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</si>
  <si>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</si>
  <si>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</si>
  <si>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</si>
  <si>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</si>
  <si>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</si>
  <si>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</si>
  <si>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</si>
  <si>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</si>
  <si>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</si>
  <si>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</si>
  <si>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</si>
  <si>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</si>
  <si>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</si>
  <si>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</si>
  <si>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</si>
  <si>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</si>
  <si>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</si>
  <si>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</si>
  <si>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</si>
  <si>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</si>
  <si>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</si>
  <si>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</si>
  <si>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</si>
  <si>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</si>
  <si>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</si>
  <si>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</si>
  <si>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</si>
  <si>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</si>
  <si>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</si>
  <si>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</si>
  <si>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</si>
  <si>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</si>
  <si>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</si>
  <si>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</si>
  <si>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</si>
  <si>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</si>
  <si>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</si>
  <si>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</si>
  <si>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</si>
  <si>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</si>
  <si>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</si>
  <si>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</si>
  <si>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</si>
  <si>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</si>
  <si>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</si>
  <si>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</si>
  <si>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</si>
  <si>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</si>
  <si>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</si>
  <si>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</si>
  <si>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</si>
  <si>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</si>
  <si>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</si>
  <si>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</si>
  <si>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</si>
  <si>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</si>
  <si>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</si>
  <si>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</si>
  <si>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</si>
  <si>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</si>
  <si>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</si>
  <si>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</si>
  <si>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</si>
  <si>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</si>
  <si>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</si>
  <si>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</si>
  <si>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</si>
  <si>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</si>
  <si>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</si>
  <si>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</si>
  <si>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</si>
  <si>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</si>
  <si>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</si>
  <si>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</si>
  <si>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</si>
  <si>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</si>
  <si>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</si>
  <si>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</si>
  <si>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</si>
  <si>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</si>
  <si>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</si>
  <si>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</si>
  <si>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</si>
  <si>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</si>
  <si>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</si>
  <si>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</si>
  <si>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</si>
  <si>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</si>
  <si>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</si>
  <si>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</si>
  <si>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</si>
  <si>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</si>
  <si>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</si>
  <si>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</si>
  <si>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</si>
  <si>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</si>
  <si>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</si>
  <si>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</si>
  <si>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</si>
  <si>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</si>
  <si>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</si>
  <si>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</si>
  <si>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</si>
  <si>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</si>
  <si>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</si>
  <si>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</si>
  <si>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</si>
  <si>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</si>
  <si>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</si>
  <si>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</si>
  <si>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</si>
  <si>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</si>
  <si>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</si>
  <si>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</si>
  <si>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</si>
  <si>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</si>
  <si>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</si>
  <si>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</si>
  <si>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</si>
  <si>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</si>
  <si>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</si>
  <si>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</si>
  <si>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</si>
  <si>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</si>
  <si>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</si>
  <si>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</si>
  <si>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</si>
  <si>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</si>
  <si>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</si>
  <si>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</si>
  <si>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</si>
  <si>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</si>
  <si>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</si>
  <si>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</si>
  <si>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</si>
  <si>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</si>
  <si>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</si>
  <si>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</si>
  <si>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</si>
  <si>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</si>
  <si>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</si>
  <si>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</si>
  <si>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</si>
  <si>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</si>
  <si>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</si>
  <si>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</si>
  <si>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</si>
  <si>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</si>
  <si>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</si>
  <si>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</si>
  <si>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</si>
  <si>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</si>
  <si>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</si>
  <si>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</si>
  <si>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</si>
  <si>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</si>
  <si>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</si>
  <si>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</si>
  <si>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</si>
  <si>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</si>
  <si>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</si>
  <si>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</si>
  <si>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</si>
  <si>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</si>
  <si>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</si>
  <si>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</si>
  <si>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</si>
  <si>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</si>
  <si>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</si>
  <si>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</si>
  <si>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</si>
  <si>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</si>
  <si>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</si>
  <si>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</si>
  <si>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</si>
  <si>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</si>
  <si>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</si>
  <si>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</si>
  <si>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</si>
  <si>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</si>
  <si>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</si>
  <si>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</si>
  <si>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</si>
  <si>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</si>
  <si>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</si>
  <si>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</si>
  <si>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</si>
  <si>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</si>
  <si>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</si>
  <si>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</si>
  <si>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</si>
  <si>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</si>
  <si>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</si>
  <si>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</si>
  <si>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</si>
  <si>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</si>
  <si>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</si>
  <si>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</si>
  <si>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</si>
  <si>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</si>
  <si>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</si>
  <si>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</si>
  <si>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</si>
  <si>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</si>
  <si>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</si>
  <si>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</si>
  <si>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</si>
  <si>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</si>
  <si>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</si>
  <si>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</si>
  <si>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</si>
  <si>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</si>
  <si>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</si>
  <si>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</si>
  <si>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</si>
  <si>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</si>
  <si>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</si>
  <si>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</si>
  <si>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</si>
  <si>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</si>
  <si>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</si>
  <si>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</si>
  <si>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</si>
  <si>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</si>
  <si>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</si>
  <si>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</si>
  <si>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</si>
  <si>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</si>
  <si>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</si>
  <si>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</si>
  <si>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</si>
  <si>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</si>
  <si>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</si>
  <si>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</si>
  <si>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</si>
  <si>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</si>
  <si>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</si>
  <si>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</si>
  <si>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</si>
  <si>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</si>
  <si>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</si>
  <si>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</si>
  <si>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</si>
  <si>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</si>
  <si>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</si>
  <si>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</si>
  <si>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</si>
  <si>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</si>
  <si>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</si>
  <si>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</si>
  <si>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</si>
  <si>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</si>
  <si>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</si>
  <si>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</si>
  <si>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</si>
  <si>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</si>
  <si>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</si>
  <si>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</si>
  <si>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</si>
  <si>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</si>
  <si>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</si>
  <si>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</si>
  <si>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</si>
  <si>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</si>
  <si>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</si>
  <si>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</si>
  <si>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</si>
  <si>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</si>
  <si>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</si>
  <si>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</si>
  <si>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</si>
  <si>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</si>
  <si>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</si>
  <si>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</si>
  <si>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</si>
  <si>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</si>
  <si>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</si>
  <si>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</si>
  <si>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</si>
  <si>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</si>
  <si>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</si>
  <si>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</si>
  <si>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</si>
  <si>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</si>
  <si>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</si>
  <si>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</si>
  <si>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</si>
  <si>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</si>
  <si>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</si>
  <si>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</si>
  <si>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</si>
  <si>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</si>
  <si>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</si>
  <si>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</si>
  <si>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</si>
  <si>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</si>
  <si>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</si>
  <si>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</si>
  <si>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</si>
  <si>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</si>
  <si>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</si>
  <si>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</si>
  <si>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</si>
  <si>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</si>
  <si>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</si>
  <si>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</si>
  <si>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</si>
  <si>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</si>
  <si>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</si>
  <si>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</si>
  <si>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</si>
  <si>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</si>
  <si>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</si>
  <si>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</si>
  <si>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</si>
  <si>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</si>
  <si>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</si>
  <si>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</si>
  <si>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</si>
  <si>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</si>
  <si>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</si>
  <si>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</si>
  <si>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</si>
  <si>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</si>
  <si>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</si>
  <si>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</si>
  <si>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</si>
  <si>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</si>
  <si>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</si>
  <si>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</si>
  <si>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</si>
  <si>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</si>
  <si>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</si>
  <si>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</si>
  <si>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</si>
  <si>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</si>
  <si>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</si>
  <si>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</si>
  <si>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</si>
  <si>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</si>
  <si>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</si>
  <si>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</si>
  <si>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</si>
  <si>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</si>
  <si>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</si>
  <si>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</si>
  <si>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</si>
  <si>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</si>
  <si>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</si>
  <si>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</si>
  <si>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</si>
  <si>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</si>
  <si>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</si>
  <si>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</si>
  <si>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</si>
  <si>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</si>
  <si>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</si>
  <si>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</si>
  <si>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</si>
  <si>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</si>
  <si>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</si>
  <si>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</si>
  <si>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</si>
  <si>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</si>
  <si>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</si>
  <si>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</si>
  <si>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</si>
  <si>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</si>
  <si>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</si>
  <si>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</si>
  <si>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</si>
  <si>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</si>
  <si>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</si>
  <si>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</si>
  <si>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</si>
  <si>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</si>
  <si>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</si>
  <si>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</si>
  <si>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</si>
  <si>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</si>
  <si>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</si>
  <si>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</si>
  <si>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</si>
  <si>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</si>
  <si>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</si>
  <si>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</si>
  <si>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</si>
  <si>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</si>
  <si>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</si>
  <si>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</si>
  <si>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</si>
  <si>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</si>
  <si>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</si>
  <si>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</si>
  <si>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</si>
  <si>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</si>
  <si>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</si>
  <si>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</si>
  <si>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</si>
  <si>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</si>
  <si>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</si>
  <si>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</si>
  <si>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</si>
  <si>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</si>
  <si>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</si>
  <si>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</si>
  <si>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</si>
  <si>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</si>
  <si>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</si>
  <si>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</si>
  <si>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</si>
  <si>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</si>
  <si>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</si>
  <si>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</si>
  <si>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</si>
  <si>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</si>
  <si>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</si>
  <si>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</si>
  <si>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</si>
  <si>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</si>
  <si>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</si>
  <si>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</si>
  <si>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</si>
  <si>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</si>
  <si>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</si>
  <si>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</si>
  <si>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</si>
  <si>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</si>
  <si>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</si>
  <si>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</si>
  <si>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</si>
  <si>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</si>
  <si>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</si>
  <si>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</si>
  <si>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</si>
  <si>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</si>
  <si>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</si>
  <si>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</si>
  <si>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</si>
  <si>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</si>
  <si>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</si>
  <si>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</si>
  <si>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</si>
  <si>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</si>
  <si>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</si>
  <si>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</si>
  <si>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</si>
  <si>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</si>
  <si>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</si>
  <si>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</si>
  <si>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</si>
  <si>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</si>
  <si>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</si>
  <si>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</si>
  <si>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</si>
  <si>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</si>
  <si>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</si>
  <si>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</si>
  <si>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</si>
  <si>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</si>
  <si>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</si>
  <si>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</si>
  <si>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</si>
  <si>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</si>
  <si>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</si>
  <si>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</si>
  <si>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</si>
  <si>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</si>
  <si>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</si>
  <si>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</si>
  <si>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</si>
  <si>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</si>
  <si>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</si>
  <si>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</si>
  <si>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</si>
  <si>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</si>
  <si>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</si>
  <si>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</si>
  <si>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</si>
  <si>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</si>
  <si>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</si>
  <si>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</si>
  <si>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</si>
  <si>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</si>
  <si>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</si>
  <si>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</si>
  <si>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</si>
  <si>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</si>
  <si>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</si>
  <si>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</si>
  <si>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</si>
  <si>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</si>
  <si>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</si>
  <si>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</si>
  <si>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</si>
  <si>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</si>
  <si>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</si>
  <si>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</si>
  <si>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</si>
  <si>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</si>
  <si>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</si>
  <si>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</si>
  <si>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</si>
  <si>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</si>
  <si>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</si>
  <si>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</si>
  <si>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</si>
  <si>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</si>
  <si>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</si>
  <si>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</si>
  <si>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</si>
  <si>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</si>
  <si>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</si>
  <si>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</si>
  <si>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</si>
  <si>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</si>
  <si>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</si>
  <si>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</si>
  <si>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</si>
  <si>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</si>
  <si>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</si>
  <si>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</si>
  <si>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</si>
  <si>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</si>
  <si>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</si>
  <si>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</si>
  <si>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</si>
  <si>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</si>
  <si>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</si>
  <si>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</si>
  <si>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</si>
  <si>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</si>
  <si>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</si>
  <si>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</si>
  <si>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</si>
  <si>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</si>
  <si>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</si>
  <si>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</si>
  <si>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</si>
  <si>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</si>
  <si>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</si>
  <si>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</si>
  <si>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</si>
  <si>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</si>
  <si>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</si>
  <si>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</si>
  <si>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</si>
  <si>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</si>
  <si>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</si>
  <si>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</si>
  <si>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</si>
  <si>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</si>
  <si>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</si>
  <si>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</si>
  <si>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</si>
  <si>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</si>
  <si>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</si>
  <si>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</si>
  <si>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</si>
  <si>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</si>
  <si>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</si>
  <si>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</si>
  <si>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</si>
  <si>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</si>
  <si>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</si>
  <si>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</si>
  <si>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</si>
  <si>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</si>
  <si>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</si>
  <si>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</si>
  <si>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</si>
  <si>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</si>
  <si>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</si>
  <si>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</si>
  <si>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</si>
  <si>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</si>
  <si>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</si>
  <si>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</si>
  <si>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</si>
  <si>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</si>
  <si>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</si>
  <si>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</si>
  <si>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</si>
  <si>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</si>
  <si>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</si>
  <si>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</si>
  <si>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</si>
  <si>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</si>
  <si>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</si>
  <si>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</si>
  <si>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</si>
  <si>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</si>
  <si>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</si>
  <si>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</si>
  <si>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</si>
  <si>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</si>
  <si>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</si>
  <si>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</si>
  <si>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</si>
  <si>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</si>
  <si>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</si>
  <si>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</si>
  <si>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</si>
  <si>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</si>
  <si>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</si>
  <si>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</si>
  <si>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</si>
  <si>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</si>
  <si>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</si>
  <si>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</si>
  <si>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</si>
  <si>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</si>
  <si>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</si>
  <si>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</si>
  <si>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</si>
  <si>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</si>
  <si>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</si>
  <si>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</si>
  <si>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</si>
  <si>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</si>
  <si>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</si>
  <si>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</si>
  <si>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</si>
  <si>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</si>
  <si>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</si>
  <si>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</si>
  <si>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</si>
  <si>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</si>
  <si>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</si>
  <si>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</si>
  <si>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</si>
  <si>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</si>
  <si>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</si>
  <si>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</si>
  <si>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</si>
  <si>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</si>
  <si>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</si>
  <si>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</si>
  <si>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</si>
  <si>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</si>
  <si>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</si>
  <si>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</si>
  <si>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</si>
  <si>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</si>
  <si>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</si>
  <si>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</si>
  <si>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</si>
  <si>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</si>
  <si>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</si>
  <si>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</si>
  <si>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</si>
  <si>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</si>
  <si>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</si>
  <si>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</si>
  <si>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</si>
  <si>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</si>
  <si>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</si>
  <si>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</si>
  <si>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</si>
  <si>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</si>
  <si>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</si>
  <si>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</si>
  <si>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</si>
  <si>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</si>
  <si>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</si>
  <si>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</si>
  <si>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</si>
  <si>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</si>
  <si>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</si>
  <si>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</si>
  <si>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</si>
  <si>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</si>
  <si>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</si>
  <si>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</si>
  <si>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</si>
  <si>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</si>
  <si>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</si>
  <si>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</si>
  <si>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</si>
  <si>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</si>
  <si>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</si>
  <si>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</si>
  <si>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</si>
  <si>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</si>
  <si>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</si>
  <si>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</si>
  <si>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</si>
  <si>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</si>
  <si>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</si>
  <si>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</si>
  <si>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</si>
  <si>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</si>
  <si>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</si>
  <si>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</si>
  <si>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</si>
  <si>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</si>
  <si>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</si>
  <si>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</si>
  <si>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</si>
  <si>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</si>
  <si>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</si>
  <si>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</si>
  <si>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</si>
  <si>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</si>
  <si>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</si>
  <si>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</si>
  <si>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</si>
  <si>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</si>
  <si>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</si>
  <si>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</si>
  <si>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</si>
  <si>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</si>
  <si>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</si>
  <si>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</si>
  <si>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</si>
  <si>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</si>
  <si>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</si>
  <si>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</si>
  <si>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</si>
  <si>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</si>
  <si>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</si>
  <si>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</si>
  <si>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</si>
  <si>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</si>
  <si>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</si>
  <si>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</si>
  <si>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</si>
  <si>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</si>
  <si>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</si>
  <si>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</si>
  <si>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</si>
  <si>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</si>
  <si>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</si>
  <si>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</si>
  <si>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</si>
  <si>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</si>
  <si>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</si>
  <si>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</si>
  <si>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</si>
  <si>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</si>
  <si>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</si>
  <si>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</si>
  <si>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</si>
  <si>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</si>
  <si>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</si>
  <si>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</si>
  <si>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</si>
  <si>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</si>
  <si>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</si>
  <si>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</si>
  <si>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</si>
  <si>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</si>
  <si>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</si>
  <si>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</si>
  <si>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</si>
  <si>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</si>
  <si>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</si>
  <si>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</si>
  <si>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</si>
  <si>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</si>
  <si>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</si>
  <si>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</si>
  <si>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</si>
  <si>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</si>
  <si>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</si>
  <si>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</si>
  <si>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</si>
  <si>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</si>
  <si>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</si>
  <si>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</si>
  <si>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</si>
  <si>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</si>
  <si>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</si>
  <si>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</si>
  <si>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</si>
  <si>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</si>
  <si>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</si>
  <si>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</si>
  <si>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</si>
  <si>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</si>
  <si>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</si>
  <si>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</si>
  <si>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</si>
  <si>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</si>
  <si>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</si>
  <si>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</si>
  <si>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</si>
  <si>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</si>
  <si>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</si>
  <si>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</si>
  <si>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</si>
  <si>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</si>
  <si>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</si>
  <si>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</si>
  <si>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</si>
  <si>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</si>
  <si>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</si>
  <si>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</si>
  <si>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</si>
  <si>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</si>
  <si>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</si>
  <si>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</si>
  <si>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</si>
  <si>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</si>
  <si>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</si>
  <si>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</si>
  <si>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</si>
  <si>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</si>
  <si>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</si>
  <si>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</si>
  <si>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</si>
  <si>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</si>
  <si>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</si>
  <si>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</si>
  <si>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</si>
  <si>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</si>
  <si>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</si>
  <si>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</si>
  <si>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</si>
  <si>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</si>
  <si>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</si>
  <si>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</si>
  <si>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</si>
  <si>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</si>
  <si>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</si>
  <si>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</si>
  <si>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</si>
  <si>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</si>
  <si>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</si>
  <si>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</si>
  <si>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</si>
  <si>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</si>
  <si>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</si>
  <si>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</si>
  <si>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</si>
  <si>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</si>
  <si>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</si>
  <si>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</si>
  <si>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</si>
  <si>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</si>
  <si>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</si>
  <si>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</si>
  <si>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</si>
  <si>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</si>
  <si>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</si>
  <si>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</si>
  <si>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</si>
  <si>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</si>
  <si>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</si>
  <si>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</si>
  <si>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</si>
  <si>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</si>
  <si>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</si>
  <si>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</si>
  <si>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</si>
  <si>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</si>
  <si>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</si>
  <si>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</si>
  <si>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</si>
  <si>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</si>
  <si>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</si>
  <si>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</si>
  <si>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</si>
  <si>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</si>
  <si>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</si>
  <si>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</si>
  <si>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</si>
  <si>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</si>
  <si>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</si>
  <si>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</si>
  <si>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</si>
  <si>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</si>
  <si>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</si>
  <si>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</si>
  <si>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</si>
  <si>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</si>
  <si>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</si>
  <si>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</si>
  <si>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</si>
  <si>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</si>
  <si>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</si>
  <si>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</si>
  <si>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</si>
  <si>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</si>
  <si>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</si>
  <si>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</si>
  <si>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</si>
  <si>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</si>
  <si>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</si>
  <si>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</si>
  <si>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</si>
  <si>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</si>
  <si>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</si>
  <si>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</si>
  <si>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</si>
  <si>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</si>
  <si>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</si>
  <si>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</si>
  <si>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</si>
  <si>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</si>
  <si>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</si>
  <si>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</si>
  <si>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</si>
  <si>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</si>
  <si>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</si>
  <si>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</si>
  <si>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</si>
  <si>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</si>
  <si>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</si>
  <si>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</si>
  <si>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</si>
  <si>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</si>
  <si>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</si>
  <si>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</si>
  <si>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</si>
  <si>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</si>
  <si>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</si>
  <si>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</si>
  <si>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</si>
  <si>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</si>
  <si>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</si>
  <si>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</si>
  <si>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</si>
  <si>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</si>
  <si>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</si>
  <si>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</si>
  <si>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</si>
  <si>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</si>
  <si>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</si>
  <si>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</si>
  <si>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</si>
  <si>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</si>
  <si>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</si>
  <si>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</si>
  <si>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</si>
  <si>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</si>
  <si>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</si>
  <si>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</si>
  <si>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</si>
  <si>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</si>
  <si>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</si>
  <si>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</si>
  <si>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</si>
  <si>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</si>
  <si>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</si>
  <si>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</si>
  <si>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</si>
  <si>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</si>
  <si>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</si>
  <si>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</si>
  <si>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</si>
  <si>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</si>
  <si>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</si>
  <si>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</si>
  <si>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</si>
  <si>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</si>
  <si>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</si>
  <si>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</si>
  <si>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</si>
  <si>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</si>
  <si>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</si>
  <si>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</si>
  <si>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</si>
  <si>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</si>
  <si>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</si>
  <si>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</si>
  <si>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</si>
  <si>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</si>
  <si>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</si>
  <si>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</si>
  <si>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</si>
  <si>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</si>
  <si>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</si>
  <si>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</si>
  <si>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</si>
  <si>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</si>
  <si>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</si>
  <si>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</si>
  <si>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</si>
  <si>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</si>
  <si>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</si>
  <si>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</si>
  <si>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</si>
  <si>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</si>
  <si>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</si>
  <si>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</si>
  <si>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</si>
  <si>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</si>
  <si>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</si>
  <si>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</si>
  <si>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</si>
  <si>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</si>
  <si>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</si>
  <si>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</si>
  <si>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</si>
  <si>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</si>
  <si>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</si>
  <si>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</si>
  <si>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</si>
  <si>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</si>
  <si>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</si>
  <si>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</si>
  <si>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</si>
  <si>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</si>
  <si>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</si>
  <si>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</si>
  <si>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</si>
  <si>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</si>
  <si>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</si>
  <si>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</si>
  <si>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</si>
  <si>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</si>
  <si>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</si>
  <si>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</si>
  <si>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</si>
  <si>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</si>
  <si>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</si>
  <si>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</si>
  <si>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</si>
  <si>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</si>
  <si>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</si>
  <si>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</si>
  <si>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</si>
  <si>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</si>
  <si>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</si>
  <si>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</si>
  <si>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</si>
  <si>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</si>
  <si>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</si>
  <si>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</si>
  <si>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</si>
  <si>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</si>
  <si>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</si>
  <si>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</si>
  <si>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</si>
  <si>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</si>
  <si>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</si>
  <si>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</si>
  <si>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</si>
  <si>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</si>
  <si>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</si>
  <si>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</si>
  <si>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</si>
  <si>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</si>
  <si>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</si>
  <si>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</si>
  <si>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</si>
  <si>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</si>
  <si>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</si>
  <si>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</si>
  <si>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</si>
  <si>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</si>
  <si>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</si>
  <si>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</si>
  <si>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</si>
  <si>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</si>
  <si>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</si>
  <si>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</si>
  <si>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</si>
  <si>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</si>
  <si>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</si>
  <si>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</si>
  <si>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</si>
  <si>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</si>
  <si>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</si>
  <si>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</si>
  <si>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</si>
  <si>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</si>
  <si>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</si>
  <si>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</si>
  <si>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</si>
  <si>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</si>
  <si>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</si>
  <si>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</si>
  <si>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</si>
  <si>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</si>
  <si>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</si>
  <si>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</si>
  <si>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</si>
  <si>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</si>
  <si>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</si>
  <si>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</si>
  <si>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</si>
  <si>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</si>
  <si>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</si>
  <si>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</si>
  <si>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</si>
  <si>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</si>
  <si>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</si>
  <si>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</si>
  <si>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</si>
  <si>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</si>
  <si>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</si>
  <si>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</si>
  <si>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</si>
  <si>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</si>
  <si>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</si>
  <si>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</si>
  <si>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</si>
  <si>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</si>
  <si>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</si>
  <si>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</si>
  <si>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</si>
  <si>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</si>
  <si>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</si>
  <si>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</si>
  <si>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</si>
  <si>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</si>
  <si>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</si>
  <si>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</si>
  <si>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</si>
  <si>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</si>
  <si>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</si>
  <si>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</si>
  <si>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</si>
  <si>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</si>
  <si>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</si>
  <si>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</si>
  <si>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</si>
  <si>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</si>
  <si>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</si>
  <si>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</si>
  <si>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</si>
  <si>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</si>
  <si>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</si>
  <si>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</si>
  <si>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</si>
  <si>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</si>
  <si>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</si>
  <si>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</si>
  <si>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</si>
  <si>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</si>
  <si>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</si>
  <si>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</si>
  <si>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</si>
  <si>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</si>
  <si>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</si>
  <si>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</si>
  <si>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</si>
  <si>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</si>
  <si>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</si>
  <si>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</si>
  <si>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</si>
  <si>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</si>
  <si>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</si>
  <si>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</si>
  <si>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</si>
  <si>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</si>
  <si>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</si>
  <si>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</si>
  <si>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</si>
  <si>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</si>
  <si>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</si>
  <si>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</si>
  <si>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</si>
  <si>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</si>
  <si>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</si>
  <si>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</si>
  <si>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</si>
  <si>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</si>
  <si>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</si>
  <si>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</si>
  <si>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</si>
  <si>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</si>
  <si>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</si>
  <si>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</si>
  <si>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</si>
  <si>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</si>
  <si>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</si>
  <si>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</si>
  <si>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</si>
  <si>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</si>
  <si>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</si>
  <si>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</si>
  <si>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</si>
  <si>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</si>
  <si>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</si>
  <si>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</si>
  <si>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</si>
  <si>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</si>
  <si>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</si>
  <si>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</si>
  <si>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</si>
  <si>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</si>
  <si>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</si>
  <si>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</si>
  <si>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</si>
  <si>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</si>
  <si>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</si>
  <si>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</si>
  <si>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</si>
  <si>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</si>
  <si>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</si>
  <si>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</si>
  <si>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</si>
  <si>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</si>
  <si>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</si>
  <si>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</si>
  <si>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</si>
  <si>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</si>
  <si>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</si>
  <si>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</si>
  <si>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</si>
  <si>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</si>
  <si>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</si>
  <si>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</si>
  <si>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</si>
  <si>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</si>
  <si>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</si>
  <si>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</si>
  <si>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</si>
  <si>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</si>
  <si>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</si>
  <si>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</si>
  <si>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</si>
  <si>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</si>
  <si>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</si>
  <si>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</si>
  <si>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</si>
  <si>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</si>
  <si>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</si>
  <si>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</si>
  <si>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</si>
  <si>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</si>
  <si>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</si>
  <si>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</si>
  <si>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</si>
  <si>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</si>
  <si>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</si>
  <si>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</si>
  <si>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</si>
  <si>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</si>
  <si>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</si>
  <si>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</si>
  <si>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</si>
  <si>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</si>
  <si>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</si>
  <si>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</si>
  <si>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</si>
  <si>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</si>
  <si>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</si>
  <si>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</si>
  <si>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</si>
  <si>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</si>
  <si>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</si>
  <si>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</si>
  <si>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</si>
  <si>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</si>
  <si>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</si>
  <si>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</si>
  <si>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</si>
  <si>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</si>
  <si>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</si>
  <si>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</si>
  <si>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</si>
  <si>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</si>
  <si>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</si>
  <si>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</si>
  <si>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</si>
  <si>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</si>
  <si>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</si>
  <si>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</si>
  <si>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</si>
  <si>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</si>
  <si>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</si>
  <si>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</si>
  <si>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</si>
  <si>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</si>
  <si>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</si>
  <si>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</si>
  <si>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</si>
  <si>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</si>
  <si>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</si>
  <si>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</si>
  <si>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</si>
  <si>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</si>
  <si>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</si>
  <si>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</si>
  <si>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</si>
  <si>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</si>
  <si>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</si>
  <si>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</si>
  <si>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</si>
  <si>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</si>
  <si>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</si>
  <si>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</si>
  <si>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</si>
  <si>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</si>
  <si>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</si>
  <si>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</si>
  <si>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</si>
  <si>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</si>
  <si>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</si>
  <si>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</si>
  <si>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</si>
  <si>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</si>
  <si>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</si>
  <si>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</si>
  <si>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</si>
  <si>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</si>
  <si>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</si>
  <si>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</si>
  <si>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</si>
  <si>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</si>
  <si>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</si>
  <si>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</si>
  <si>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</si>
  <si>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</si>
  <si>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</si>
  <si>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</si>
  <si>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</si>
  <si>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</si>
  <si>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</si>
  <si>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</si>
  <si>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</si>
  <si>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</si>
  <si>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</si>
  <si>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</si>
  <si>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</si>
  <si>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</si>
  <si>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</si>
  <si>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</si>
  <si>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</si>
  <si>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</si>
  <si>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</si>
  <si>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</si>
  <si>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</si>
  <si>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</si>
  <si>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</si>
  <si>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</si>
  <si>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</si>
  <si>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</si>
  <si>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</si>
  <si>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</si>
  <si>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</si>
  <si>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</si>
  <si>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</si>
  <si>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</si>
  <si>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</si>
  <si>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</si>
  <si>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</si>
  <si>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</si>
  <si>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</si>
  <si>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</si>
  <si>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</si>
  <si>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</si>
  <si>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</si>
  <si>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</si>
  <si>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</si>
  <si>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</si>
  <si>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</si>
  <si>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</si>
  <si>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</si>
  <si>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</si>
  <si>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</si>
  <si>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</si>
  <si>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</si>
  <si>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</si>
  <si>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</si>
  <si>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</si>
  <si>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</si>
  <si>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</si>
  <si>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</si>
  <si>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</si>
  <si>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</si>
  <si>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</si>
  <si>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</si>
  <si>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</si>
  <si>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</si>
  <si>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</si>
  <si>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</si>
  <si>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</si>
  <si>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</si>
  <si>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</si>
  <si>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</si>
  <si>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</si>
  <si>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</si>
  <si>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</si>
  <si>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</si>
  <si>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</si>
  <si>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</si>
  <si>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</si>
  <si>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</si>
  <si>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</si>
  <si>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</si>
  <si>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</si>
  <si>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</si>
  <si>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</si>
  <si>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</si>
  <si>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</si>
  <si>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</si>
  <si>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</si>
  <si>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</si>
  <si>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</si>
  <si>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</si>
  <si>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</si>
  <si>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</si>
  <si>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</si>
  <si>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</si>
  <si>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</si>
  <si>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</si>
  <si>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</si>
  <si>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</si>
  <si>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</si>
  <si>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</si>
  <si>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</si>
  <si>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</si>
  <si>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</si>
  <si>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</si>
  <si>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</si>
  <si>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</si>
  <si>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</si>
  <si>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</si>
  <si>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</si>
  <si>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</si>
  <si>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</si>
  <si>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</si>
  <si>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</si>
  <si>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</si>
  <si>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</si>
  <si>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</si>
  <si>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</si>
  <si>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</si>
  <si>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</si>
  <si>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</si>
  <si>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</si>
  <si>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</si>
  <si>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</si>
  <si>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</si>
  <si>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</si>
  <si>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</si>
  <si>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</si>
  <si>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</si>
  <si>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</si>
  <si>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</si>
  <si>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</si>
  <si>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</si>
  <si>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</si>
  <si>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</si>
  <si>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</si>
  <si>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</si>
  <si>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</si>
  <si>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</si>
  <si>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</si>
  <si>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</si>
  <si>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</si>
  <si>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</si>
  <si>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</si>
  <si>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</si>
  <si>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</si>
  <si>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</si>
  <si>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</si>
  <si>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</si>
  <si>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</si>
  <si>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</si>
  <si>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</si>
  <si>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</si>
  <si>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</si>
  <si>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</si>
  <si>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</si>
  <si>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</si>
  <si>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</si>
  <si>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</si>
  <si>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</si>
  <si>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</si>
  <si>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</si>
  <si>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</si>
  <si>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</si>
  <si>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</si>
  <si>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</si>
  <si>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</si>
  <si>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</si>
  <si>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</si>
  <si>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</si>
  <si>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</si>
  <si>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</si>
  <si>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</si>
  <si>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</si>
  <si>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</si>
  <si>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</si>
  <si>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</si>
  <si>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</si>
  <si>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</si>
  <si>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</si>
  <si>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</si>
  <si>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</si>
  <si>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</si>
  <si>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</si>
  <si>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</si>
  <si>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</si>
  <si>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</si>
  <si>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</si>
  <si>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</si>
  <si>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</si>
  <si>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</si>
  <si>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</si>
  <si>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</si>
  <si>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</si>
  <si>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</si>
  <si>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</si>
  <si>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</si>
  <si>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</si>
  <si>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</si>
  <si>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</si>
  <si>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</si>
  <si>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</si>
  <si>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</si>
  <si>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</si>
  <si>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</si>
  <si>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</si>
  <si>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</si>
  <si>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</si>
  <si>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</si>
  <si>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</si>
  <si>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</si>
  <si>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</si>
  <si>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</si>
  <si>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</si>
  <si>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</si>
  <si>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</si>
  <si>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</si>
  <si>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</si>
  <si>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</si>
  <si>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</si>
  <si>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</si>
  <si>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</si>
  <si>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</si>
  <si>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</si>
  <si>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</si>
  <si>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</si>
  <si>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</si>
  <si>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</si>
  <si>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</si>
  <si>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</si>
  <si>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</si>
  <si>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</si>
  <si>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</si>
  <si>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</si>
  <si>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</si>
  <si>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</si>
  <si>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</si>
  <si>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</si>
  <si>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</si>
  <si>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</si>
  <si>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</si>
  <si>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</si>
  <si>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</si>
  <si>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</si>
  <si>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</si>
  <si>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</si>
  <si>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</si>
  <si>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</si>
  <si>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</si>
  <si>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</si>
  <si>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</si>
  <si>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</si>
  <si>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</si>
  <si>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</si>
  <si>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</si>
  <si>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</si>
  <si>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</si>
  <si>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</si>
  <si>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</si>
  <si>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</si>
  <si>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</si>
  <si>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</si>
  <si>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</si>
  <si>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</si>
  <si>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</si>
  <si>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</si>
  <si>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</si>
  <si>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</si>
  <si>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</si>
  <si>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</si>
  <si>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</si>
  <si>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</si>
  <si>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</si>
  <si>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</si>
  <si>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</si>
  <si>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</si>
  <si>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</si>
  <si>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</si>
  <si>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</si>
  <si>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</si>
  <si>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</si>
  <si>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</si>
  <si>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</si>
  <si>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</si>
  <si>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</si>
  <si>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</si>
  <si>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</si>
  <si>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</si>
  <si>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</si>
  <si>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</si>
  <si>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</si>
  <si>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</si>
  <si>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</si>
  <si>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</si>
  <si>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</si>
  <si>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</si>
  <si>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</si>
  <si>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</si>
  <si>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</si>
  <si>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</si>
  <si>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</si>
  <si>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</si>
  <si>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</si>
  <si>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</si>
  <si>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</si>
  <si>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</si>
  <si>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</si>
  <si>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</si>
  <si>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</si>
  <si>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</si>
  <si>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</si>
  <si>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</si>
  <si>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</si>
  <si>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</si>
  <si>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</si>
  <si>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</si>
  <si>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</si>
  <si>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</si>
  <si>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</si>
  <si>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</si>
  <si>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</si>
  <si>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</si>
  <si>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</si>
  <si>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</si>
  <si>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</si>
  <si>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</si>
  <si>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</si>
  <si>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</si>
  <si>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</si>
  <si>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</si>
  <si>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</si>
  <si>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</si>
  <si>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</si>
  <si>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</si>
  <si>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</si>
  <si>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</si>
  <si>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</si>
  <si>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</si>
  <si>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</si>
  <si>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</si>
  <si>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</si>
  <si>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</si>
  <si>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</si>
  <si>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</si>
  <si>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</si>
  <si>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</si>
  <si>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</si>
  <si>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</si>
  <si>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</si>
  <si>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</si>
  <si>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</si>
  <si>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</si>
  <si>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</si>
  <si>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</si>
  <si>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</si>
  <si>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</si>
  <si>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</si>
  <si>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</si>
  <si>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</si>
  <si>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</si>
  <si>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</si>
  <si>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</si>
  <si>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</si>
  <si>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</si>
  <si>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</si>
  <si>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</si>
  <si>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</si>
  <si>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</si>
  <si>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</si>
  <si>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</si>
  <si>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</si>
  <si>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</si>
  <si>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</si>
  <si>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</si>
  <si>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</si>
  <si>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</si>
  <si>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</si>
  <si>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</si>
  <si>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</si>
  <si>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</si>
  <si>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</si>
  <si>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</si>
  <si>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</si>
  <si>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</si>
  <si>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</si>
  <si>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</si>
  <si>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</si>
  <si>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</si>
  <si>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</si>
  <si>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</si>
  <si>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</si>
  <si>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</si>
  <si>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</si>
  <si>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</si>
  <si>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</si>
  <si>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</si>
  <si>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</si>
  <si>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</si>
  <si>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</si>
  <si>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</si>
  <si>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</si>
  <si>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</si>
  <si>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</si>
  <si>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</si>
  <si>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</si>
  <si>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</si>
  <si>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</si>
  <si>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</si>
  <si>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</si>
  <si>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</si>
  <si>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</si>
  <si>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</si>
  <si>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</si>
  <si>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</si>
  <si>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طلب علی از مهدی سهام  122948 تا وغدیر</t>
  </si>
  <si>
    <t>بدهی به داریوش 18/9/98</t>
  </si>
  <si>
    <t>بدهی به حسین 20.4 کیلو برنج 18.5  16/9/98</t>
  </si>
  <si>
    <t>19/9/1398</t>
  </si>
  <si>
    <t>20/9/1398</t>
  </si>
  <si>
    <t>27/9/1398</t>
  </si>
  <si>
    <t>بدهی به حسین 27/9/98</t>
  </si>
  <si>
    <t>30/9/1398</t>
  </si>
  <si>
    <t>2/10/1398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</si>
</sst>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I73"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S122</f>
        <v>430</v>
      </c>
      <c r="T20" s="168" t="s">
        <v>4300</v>
      </c>
      <c r="U20" s="168">
        <v>192.1</v>
      </c>
      <c r="V20" s="168">
        <f t="shared" ref="V20:V51" si="6">U20*(1+$R$118+$Q$15*S20/36500)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875935091.36752439</v>
      </c>
      <c r="M21" s="168" t="s">
        <v>4292</v>
      </c>
      <c r="N21" s="113">
        <f t="shared" ref="N21:N25" si="9">O21*P21</f>
        <v>562440964.79999995</v>
      </c>
      <c r="O21" s="99">
        <v>1638814</v>
      </c>
      <c r="P21" s="185">
        <f>P47</f>
        <v>343.2</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593132.5</v>
      </c>
      <c r="O22" s="99">
        <v>95</v>
      </c>
      <c r="P22" s="185">
        <f>P44</f>
        <v>6243.5</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5406564.1000000006</v>
      </c>
      <c r="O23" s="99">
        <v>791</v>
      </c>
      <c r="P23" s="185">
        <f>P46</f>
        <v>6835.1</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769718573.36752439</v>
      </c>
      <c r="G24" s="95">
        <f t="shared" si="0"/>
        <v>-489412227.98558575</v>
      </c>
      <c r="H24" s="11"/>
      <c r="I24" s="96"/>
      <c r="J24" s="96"/>
      <c r="K24" s="213"/>
      <c r="L24" s="117"/>
      <c r="M24" s="213" t="s">
        <v>5213</v>
      </c>
      <c r="N24" s="113">
        <f t="shared" si="9"/>
        <v>0</v>
      </c>
      <c r="O24" s="99">
        <v>0</v>
      </c>
      <c r="P24" s="185">
        <f>P48</f>
        <v>3450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-27611459</v>
      </c>
      <c r="M25" s="213" t="s">
        <v>4398</v>
      </c>
      <c r="N25" s="113">
        <f t="shared" si="9"/>
        <v>138179209.59999999</v>
      </c>
      <c r="O25" s="99">
        <v>156808</v>
      </c>
      <c r="P25" s="185">
        <f>P45</f>
        <v>881.2</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1769449.6</v>
      </c>
      <c r="O28" s="69">
        <v>2008</v>
      </c>
      <c r="P28" s="99">
        <f>P45</f>
        <v>881.2</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387097</v>
      </c>
      <c r="O29" s="69">
        <v>62</v>
      </c>
      <c r="P29" s="99">
        <f>P44</f>
        <v>6243.5</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8619061.0999999996</v>
      </c>
      <c r="O30" s="69">
        <v>1261</v>
      </c>
      <c r="P30" s="99">
        <f>P46</f>
        <v>6835.1</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133347271.2</v>
      </c>
      <c r="O31" s="69">
        <v>388541</v>
      </c>
      <c r="P31" s="99">
        <f>P47</f>
        <v>343.2</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5161</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-875935091.36752439</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5413</v>
      </c>
      <c r="L44" s="117">
        <f>-6000*P47</f>
        <v>-2059200</v>
      </c>
      <c r="M44" s="21" t="s">
        <v>4380</v>
      </c>
      <c r="N44" s="117">
        <f t="shared" ref="N44:N50" si="16">O44*P44</f>
        <v>0</v>
      </c>
      <c r="O44" s="69">
        <v>0</v>
      </c>
      <c r="P44" s="69">
        <v>6243.5</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5338</v>
      </c>
      <c r="L45" s="117">
        <f>-1200*P50</f>
        <v>-15480000</v>
      </c>
      <c r="M45" s="19" t="s">
        <v>4398</v>
      </c>
      <c r="N45" s="117">
        <f t="shared" si="16"/>
        <v>81718082</v>
      </c>
      <c r="O45" s="69">
        <v>92735</v>
      </c>
      <c r="P45" s="69">
        <v>881.2</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21817639.200000003</v>
      </c>
      <c r="O46" s="69">
        <v>3192</v>
      </c>
      <c r="P46" s="69">
        <v>6835.1</v>
      </c>
      <c r="Q46" s="169">
        <v>25661167</v>
      </c>
      <c r="R46" s="213" t="s">
        <v>5104</v>
      </c>
      <c r="S46" s="197">
        <f>S45-1</f>
        <v>133</v>
      </c>
      <c r="T46" s="213" t="s">
        <v>5218</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5417</v>
      </c>
      <c r="L47" s="117">
        <f>122948*P47</f>
        <v>42195753.600000001</v>
      </c>
      <c r="M47" s="19" t="s">
        <v>4174</v>
      </c>
      <c r="N47" s="113">
        <f t="shared" si="16"/>
        <v>1026653971.1999999</v>
      </c>
      <c r="O47" s="99">
        <v>2991416</v>
      </c>
      <c r="P47" s="99">
        <v>343.2</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5213</v>
      </c>
      <c r="N48" s="113">
        <f t="shared" si="16"/>
        <v>0</v>
      </c>
      <c r="O48" s="99">
        <v>0</v>
      </c>
      <c r="P48" s="99">
        <v>3450</v>
      </c>
      <c r="Q48" s="169">
        <v>191280</v>
      </c>
      <c r="R48" s="213" t="s">
        <v>5140</v>
      </c>
      <c r="S48" s="197">
        <f>S47-1</f>
        <v>113</v>
      </c>
      <c r="T48" s="213" t="s">
        <v>5414</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5419</v>
      </c>
      <c r="L49" s="117">
        <v>-377400</v>
      </c>
      <c r="M49" s="21" t="s">
        <v>1083</v>
      </c>
      <c r="N49" s="117">
        <f t="shared" si="16"/>
        <v>0</v>
      </c>
      <c r="O49" s="69">
        <v>0</v>
      </c>
      <c r="P49" s="69">
        <v>448000</v>
      </c>
      <c r="Q49" s="169">
        <v>741022</v>
      </c>
      <c r="R49" s="213" t="s">
        <v>5129</v>
      </c>
      <c r="S49" s="197">
        <f>S48-22</f>
        <v>91</v>
      </c>
      <c r="T49" s="213" t="s">
        <v>5176</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5418</v>
      </c>
      <c r="L50" s="117">
        <v>-200000</v>
      </c>
      <c r="M50" s="73" t="s">
        <v>5212</v>
      </c>
      <c r="N50" s="117">
        <f t="shared" si="16"/>
        <v>0</v>
      </c>
      <c r="O50" s="74">
        <v>0</v>
      </c>
      <c r="P50" s="74">
        <v>12900</v>
      </c>
      <c r="Q50" s="169">
        <v>1866540</v>
      </c>
      <c r="R50" s="213" t="s">
        <v>5178</v>
      </c>
      <c r="S50" s="197">
        <f>S49-1</f>
        <v>90</v>
      </c>
      <c r="T50" s="213" t="s">
        <v>5179</v>
      </c>
      <c r="U50" s="213">
        <v>740.2</v>
      </c>
      <c r="V50" s="213">
        <f t="shared" si="6"/>
        <v>802.55525917808245</v>
      </c>
      <c r="W50" s="32">
        <f t="shared" ref="W50:W59" si="17">V50*(1+$W$19/100)</f>
        <v>818.60636436164407</v>
      </c>
      <c r="X50" s="32">
        <f t="shared" ref="X50:X59"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5423</v>
      </c>
      <c r="L51" s="117">
        <v>-200000</v>
      </c>
      <c r="M51" s="168" t="s">
        <v>1149</v>
      </c>
      <c r="N51" s="117">
        <v>14908</v>
      </c>
      <c r="O51" s="96" t="s">
        <v>25</v>
      </c>
      <c r="P51" t="s">
        <v>25</v>
      </c>
      <c r="Q51" s="169">
        <v>1373184</v>
      </c>
      <c r="R51" s="213" t="s">
        <v>5182</v>
      </c>
      <c r="S51" s="197">
        <f>S50-3</f>
        <v>87</v>
      </c>
      <c r="T51" s="213" t="s">
        <v>5183</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4660</v>
      </c>
      <c r="R52" s="213" t="s">
        <v>5189</v>
      </c>
      <c r="S52" s="197">
        <f>S51-2</f>
        <v>85</v>
      </c>
      <c r="T52" s="213" t="s">
        <v>5190</v>
      </c>
      <c r="U52" s="213">
        <v>773.1</v>
      </c>
      <c r="V52" s="213">
        <f t="shared" ref="V52:V76" si="19">U52*(1+$R$118+$Q$15*S52/36500)</f>
        <v>835.26147616438357</v>
      </c>
      <c r="W52" s="32">
        <f t="shared" si="17"/>
        <v>851.96670568767126</v>
      </c>
      <c r="X52" s="32">
        <f t="shared" si="18"/>
        <v>868.67193521095896</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545132</v>
      </c>
      <c r="R53" s="213" t="s">
        <v>5191</v>
      </c>
      <c r="S53" s="197">
        <f>S52-1</f>
        <v>84</v>
      </c>
      <c r="T53" s="213" t="s">
        <v>5192</v>
      </c>
      <c r="U53" s="213">
        <v>778.5</v>
      </c>
      <c r="V53" s="213">
        <f t="shared" si="19"/>
        <v>840.49846027397268</v>
      </c>
      <c r="W53" s="32">
        <f t="shared" si="17"/>
        <v>857.30842947945212</v>
      </c>
      <c r="X53" s="32">
        <f t="shared" si="18"/>
        <v>874.11839868493166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179841</v>
      </c>
      <c r="R54" s="213" t="s">
        <v>5211</v>
      </c>
      <c r="S54" s="197">
        <f>S53-8</f>
        <v>76</v>
      </c>
      <c r="T54" s="213" t="s">
        <v>5214</v>
      </c>
      <c r="U54" s="213">
        <v>791.2</v>
      </c>
      <c r="V54" s="213">
        <f t="shared" si="19"/>
        <v>849.35428383561657</v>
      </c>
      <c r="W54" s="32">
        <f t="shared" si="17"/>
        <v>866.34136951232892</v>
      </c>
      <c r="X54" s="32">
        <f t="shared" si="18"/>
        <v>883.32845518904128</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2889559</v>
      </c>
      <c r="R55" s="213" t="s">
        <v>5146</v>
      </c>
      <c r="S55" s="197">
        <f>S54-3</f>
        <v>73</v>
      </c>
      <c r="T55" s="213" t="s">
        <v>5217</v>
      </c>
      <c r="U55" s="213">
        <v>782.4</v>
      </c>
      <c r="V55" s="213">
        <f t="shared" si="19"/>
        <v>838.10688000000005</v>
      </c>
      <c r="W55" s="32">
        <f t="shared" si="17"/>
        <v>854.86901760000001</v>
      </c>
      <c r="X55" s="32">
        <f t="shared" si="18"/>
        <v>871.63115520000008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1773978</v>
      </c>
      <c r="R56" s="213" t="s">
        <v>5220</v>
      </c>
      <c r="S56" s="197">
        <f>S55-1</f>
        <v>72</v>
      </c>
      <c r="T56" s="213" t="s">
        <v>5222</v>
      </c>
      <c r="U56" s="213">
        <v>766.4</v>
      </c>
      <c r="V56" s="213">
        <f t="shared" si="19"/>
        <v>820.3797567123288</v>
      </c>
      <c r="W56" s="32">
        <f t="shared" si="17"/>
        <v>836.78735184657535</v>
      </c>
      <c r="X56" s="32">
        <f t="shared" si="18"/>
        <v>853.19494698082201</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-27379610.449003469</v>
      </c>
      <c r="Q57" s="169">
        <v>4937080</v>
      </c>
      <c r="R57" s="213" t="s">
        <v>5220</v>
      </c>
      <c r="S57" s="197">
        <f>S56</f>
        <v>72</v>
      </c>
      <c r="T57" s="213" t="s">
        <v>5223</v>
      </c>
      <c r="U57" s="213">
        <v>289.10000000000002</v>
      </c>
      <c r="V57" s="213">
        <f t="shared" si="19"/>
        <v>309.46214465753428</v>
      </c>
      <c r="W57" s="32">
        <f t="shared" si="17"/>
        <v>315.65138755068494</v>
      </c>
      <c r="X57" s="32">
        <f t="shared" si="18"/>
        <v>321.84063044383566</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4029844</v>
      </c>
      <c r="R58" s="213" t="s">
        <v>5229</v>
      </c>
      <c r="S58" s="197">
        <f>S57-6</f>
        <v>66</v>
      </c>
      <c r="T58" s="213" t="s">
        <v>5231</v>
      </c>
      <c r="U58" s="213">
        <v>275.10000000000002</v>
      </c>
      <c r="V58" s="213">
        <f t="shared" si="19"/>
        <v>293.20987068493156</v>
      </c>
      <c r="W58" s="32">
        <f t="shared" si="17"/>
        <v>299.07406809863022</v>
      </c>
      <c r="X58" s="32">
        <f t="shared" si="18"/>
        <v>304.93826551232883</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5234</v>
      </c>
      <c r="S59" s="197">
        <f>S58-1</f>
        <v>65</v>
      </c>
      <c r="T59" s="213" t="s">
        <v>5236</v>
      </c>
      <c r="U59" s="213">
        <v>275.60000000000002</v>
      </c>
      <c r="V59" s="213">
        <f t="shared" si="19"/>
        <v>293.53136657534253</v>
      </c>
      <c r="W59" s="32">
        <f t="shared" si="17"/>
        <v>299.40199390684938</v>
      </c>
      <c r="X59" s="32">
        <f t="shared" si="18"/>
        <v>305.27262123835624</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769718573.36752439</v>
      </c>
      <c r="M60" s="168"/>
      <c r="N60" s="113">
        <f>SUM(N16:N59)</f>
        <v>1017523229.4834722</v>
      </c>
      <c r="Q60" s="169">
        <v>6955516</v>
      </c>
      <c r="R60" s="213" t="s">
        <v>5239</v>
      </c>
      <c r="S60" s="197">
        <f>S59-2</f>
        <v>63</v>
      </c>
      <c r="T60" s="213" t="s">
        <v>5249</v>
      </c>
      <c r="U60" s="213">
        <v>288.5</v>
      </c>
      <c r="V60" s="213">
        <f t="shared" si="19"/>
        <v>306.82804931506854</v>
      </c>
      <c r="W60" s="32">
        <f t="shared" ref="W60:W76" si="20">V60*(1+$W$19/100)</f>
        <v>312.96461030136993</v>
      </c>
      <c r="X60" s="32">
        <f t="shared" ref="X60:X76" si="21">V60*(1+$X$19/100)</f>
        <v>319.10117128767132</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429141</v>
      </c>
      <c r="M61" s="168"/>
      <c r="N61" s="113">
        <f>N16+N17+N35</f>
        <v>641053</v>
      </c>
      <c r="Q61" s="169">
        <v>479691</v>
      </c>
      <c r="R61" s="213" t="s">
        <v>5273</v>
      </c>
      <c r="S61" s="197">
        <f>S60-4</f>
        <v>59</v>
      </c>
      <c r="T61" s="213" t="s">
        <v>5274</v>
      </c>
      <c r="U61" s="213">
        <v>7461.3</v>
      </c>
      <c r="V61" s="213">
        <f t="shared" si="19"/>
        <v>7912.4122421917809</v>
      </c>
      <c r="W61" s="32">
        <f t="shared" si="20"/>
        <v>8070.6604870356168</v>
      </c>
      <c r="X61" s="32">
        <f t="shared" si="21"/>
        <v>8228.9087318794518</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869718573.36752439</v>
      </c>
      <c r="M62" s="113"/>
      <c r="N62" s="168"/>
      <c r="O62" s="115"/>
      <c r="P62" s="115"/>
      <c r="Q62" s="169">
        <v>354034</v>
      </c>
      <c r="R62" s="213" t="s">
        <v>5289</v>
      </c>
      <c r="S62" s="197">
        <f>S61-3</f>
        <v>56</v>
      </c>
      <c r="T62" s="213" t="s">
        <v>5290</v>
      </c>
      <c r="U62" s="213">
        <v>7048.7</v>
      </c>
      <c r="V62" s="213">
        <f t="shared" si="19"/>
        <v>7458.6446673972605</v>
      </c>
      <c r="W62" s="32">
        <f t="shared" si="20"/>
        <v>7607.8175607452058</v>
      </c>
      <c r="X62" s="32">
        <f t="shared" si="21"/>
        <v>7756.9904540931511</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512931</v>
      </c>
      <c r="R63" s="213" t="s">
        <v>973</v>
      </c>
      <c r="S63" s="197">
        <f>S62-4</f>
        <v>52</v>
      </c>
      <c r="T63" s="213" t="s">
        <v>5303</v>
      </c>
      <c r="U63" s="213">
        <v>298.39999999999998</v>
      </c>
      <c r="V63" s="213">
        <f t="shared" si="19"/>
        <v>314.83897863013698</v>
      </c>
      <c r="W63" s="32">
        <f t="shared" si="20"/>
        <v>321.13575820273974</v>
      </c>
      <c r="X63" s="32">
        <f t="shared" si="21"/>
        <v>327.4325377753425</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230024</v>
      </c>
      <c r="R64" s="213" t="s">
        <v>5309</v>
      </c>
      <c r="S64" s="197">
        <f>S63-3</f>
        <v>49</v>
      </c>
      <c r="T64" s="213" t="s">
        <v>5312</v>
      </c>
      <c r="U64" s="213">
        <v>296.2</v>
      </c>
      <c r="V64" s="213">
        <f t="shared" si="19"/>
        <v>311.83611397260273</v>
      </c>
      <c r="W64" s="32">
        <f t="shared" si="20"/>
        <v>318.0728362520548</v>
      </c>
      <c r="X64" s="32">
        <f t="shared" si="21"/>
        <v>324.30955853150687</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1505833</v>
      </c>
      <c r="R65" s="213" t="s">
        <v>5309</v>
      </c>
      <c r="S65" s="197">
        <f>S64</f>
        <v>49</v>
      </c>
      <c r="T65" s="213" t="s">
        <v>5313</v>
      </c>
      <c r="U65" s="213">
        <v>6722.1</v>
      </c>
      <c r="V65" s="213">
        <f t="shared" si="19"/>
        <v>7076.9532131506858</v>
      </c>
      <c r="W65" s="32">
        <f t="shared" si="20"/>
        <v>7218.4922774136994</v>
      </c>
      <c r="X65" s="32">
        <f t="shared" si="21"/>
        <v>7360.0313416767131</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908423</v>
      </c>
      <c r="R66" s="213" t="s">
        <v>990</v>
      </c>
      <c r="S66" s="197">
        <f>S65-6</f>
        <v>43</v>
      </c>
      <c r="T66" s="213" t="s">
        <v>5326</v>
      </c>
      <c r="U66" s="213">
        <v>6905</v>
      </c>
      <c r="V66" s="213">
        <f t="shared" si="19"/>
        <v>7237.726410958905</v>
      </c>
      <c r="W66" s="32">
        <f t="shared" si="20"/>
        <v>7382.4809391780836</v>
      </c>
      <c r="X66" s="32">
        <f t="shared" si="21"/>
        <v>7527.2354673972613</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5102831</v>
      </c>
      <c r="R67" s="213" t="s">
        <v>4272</v>
      </c>
      <c r="S67" s="197">
        <f>S66-1</f>
        <v>42</v>
      </c>
      <c r="T67" s="213" t="s">
        <v>5330</v>
      </c>
      <c r="U67" s="213">
        <v>310.3</v>
      </c>
      <c r="V67" s="213">
        <f t="shared" si="19"/>
        <v>325.01417095890417</v>
      </c>
      <c r="W67" s="32">
        <f t="shared" si="20"/>
        <v>331.51445437808229</v>
      </c>
      <c r="X67" s="32">
        <f t="shared" si="21"/>
        <v>338.01473779726035</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200222</v>
      </c>
      <c r="R68" s="213" t="s">
        <v>5337</v>
      </c>
      <c r="S68" s="197">
        <f>S67-5</f>
        <v>37</v>
      </c>
      <c r="T68" s="213" t="s">
        <v>5343</v>
      </c>
      <c r="U68" s="213">
        <v>300.60000000000002</v>
      </c>
      <c r="V68" s="213">
        <f t="shared" si="19"/>
        <v>313.70121863013708</v>
      </c>
      <c r="W68" s="32">
        <f t="shared" si="20"/>
        <v>319.97524300273983</v>
      </c>
      <c r="X68" s="32">
        <f t="shared" si="21"/>
        <v>326.24926737534258</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188509</v>
      </c>
      <c r="R69" s="213" t="s">
        <v>5344</v>
      </c>
      <c r="S69" s="197">
        <f>S68-1</f>
        <v>36</v>
      </c>
      <c r="T69" s="213" t="s">
        <v>5345</v>
      </c>
      <c r="U69" s="213">
        <v>306.10000000000002</v>
      </c>
      <c r="V69" s="213">
        <f t="shared" si="19"/>
        <v>319.20611178082197</v>
      </c>
      <c r="W69" s="32">
        <f t="shared" si="20"/>
        <v>325.59023401643839</v>
      </c>
      <c r="X69" s="32">
        <f t="shared" si="21"/>
        <v>331.97435625205486</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458868</v>
      </c>
      <c r="R70" s="213" t="s">
        <v>5347</v>
      </c>
      <c r="S70" s="197">
        <f>S69-2</f>
        <v>34</v>
      </c>
      <c r="T70" s="213" t="s">
        <v>5349</v>
      </c>
      <c r="U70" s="213">
        <v>304.5</v>
      </c>
      <c r="V70" s="213">
        <f t="shared" si="19"/>
        <v>317.07042739726029</v>
      </c>
      <c r="W70" s="32">
        <f t="shared" si="20"/>
        <v>323.4118359452055</v>
      </c>
      <c r="X70" s="32">
        <f t="shared" si="21"/>
        <v>329.7532444931507</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1962799</v>
      </c>
      <c r="R71" s="213" t="s">
        <v>5353</v>
      </c>
      <c r="S71" s="197">
        <f>S70-3</f>
        <v>31</v>
      </c>
      <c r="T71" s="213" t="s">
        <v>5386</v>
      </c>
      <c r="U71" s="213">
        <v>6513.1</v>
      </c>
      <c r="V71" s="213">
        <f t="shared" si="19"/>
        <v>6766.9859912328775</v>
      </c>
      <c r="W71" s="32">
        <f t="shared" si="20"/>
        <v>6902.325711057535</v>
      </c>
      <c r="X71" s="32">
        <f t="shared" si="21"/>
        <v>7037.6654308821926</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459771</v>
      </c>
      <c r="R72" s="213" t="s">
        <v>5353</v>
      </c>
      <c r="S72" s="197">
        <f>S71</f>
        <v>31</v>
      </c>
      <c r="T72" s="213" t="s">
        <v>5354</v>
      </c>
      <c r="U72" s="213">
        <v>305.10000000000002</v>
      </c>
      <c r="V72" s="213">
        <f t="shared" si="19"/>
        <v>316.99304876712335</v>
      </c>
      <c r="W72" s="32">
        <f t="shared" si="20"/>
        <v>323.3329097424658</v>
      </c>
      <c r="X72" s="32">
        <f t="shared" si="21"/>
        <v>329.67277071780831</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5364</v>
      </c>
      <c r="O73" t="s">
        <v>25</v>
      </c>
      <c r="P73" s="115"/>
      <c r="Q73" s="169">
        <v>101835</v>
      </c>
      <c r="R73" s="213" t="s">
        <v>5356</v>
      </c>
      <c r="S73" s="197">
        <f>S72-2</f>
        <v>29</v>
      </c>
      <c r="T73" s="213" t="s">
        <v>5357</v>
      </c>
      <c r="U73" s="213">
        <v>304.39999999999998</v>
      </c>
      <c r="V73" s="213">
        <f t="shared" si="19"/>
        <v>315.79873753424653</v>
      </c>
      <c r="W73" s="32">
        <f t="shared" si="20"/>
        <v>322.11471228493144</v>
      </c>
      <c r="X73" s="32">
        <f t="shared" si="21"/>
        <v>328.43068703561642</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1722442207.2</v>
      </c>
      <c r="P74" s="115"/>
      <c r="Q74" s="169">
        <v>154568</v>
      </c>
      <c r="R74" s="213" t="s">
        <v>5358</v>
      </c>
      <c r="S74" s="197">
        <f>S73-2</f>
        <v>27</v>
      </c>
      <c r="T74" s="213" t="s">
        <v>5361</v>
      </c>
      <c r="U74" s="213">
        <v>6690</v>
      </c>
      <c r="V74" s="213">
        <f t="shared" si="19"/>
        <v>6930.2534794520561</v>
      </c>
      <c r="W74" s="32">
        <f t="shared" si="20"/>
        <v>7068.8585490410969</v>
      </c>
      <c r="X74" s="32">
        <f t="shared" si="21"/>
        <v>7207.4636186301386</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306634</v>
      </c>
      <c r="R75" s="213" t="s">
        <v>5371</v>
      </c>
      <c r="S75" s="197">
        <f>S74-5</f>
        <v>22</v>
      </c>
      <c r="T75" s="213" t="s">
        <v>5373</v>
      </c>
      <c r="U75" s="213">
        <v>303.7</v>
      </c>
      <c r="V75" s="213">
        <f t="shared" si="19"/>
        <v>313.4416975342466</v>
      </c>
      <c r="W75" s="32">
        <f t="shared" si="20"/>
        <v>319.71053148493155</v>
      </c>
      <c r="X75" s="32">
        <f t="shared" si="21"/>
        <v>325.9793654356165</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t="s">
        <v>25</v>
      </c>
      <c r="R76" s="168" t="s">
        <v>25</v>
      </c>
      <c r="S76" s="168"/>
      <c r="T76" s="168"/>
      <c r="U76" s="168"/>
      <c r="V76" s="213">
        <f t="shared" si="19"/>
        <v>0</v>
      </c>
      <c r="W76" s="32">
        <f t="shared" si="20"/>
        <v>0</v>
      </c>
      <c r="X76" s="32">
        <f t="shared" si="21"/>
        <v>0</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f>SUM(N21:N25)-SUM(Q20:Q76)</f>
        <v>279730640</v>
      </c>
      <c r="R77" s="168"/>
      <c r="S77" s="168" t="s">
        <v>25</v>
      </c>
      <c r="T77" s="168"/>
      <c r="U77" s="168"/>
      <c r="V77" s="168"/>
      <c r="W77" s="32"/>
      <c r="X77" s="32"/>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R78" s="115" t="s">
        <v>25</v>
      </c>
      <c r="S78" s="115" t="s">
        <v>25</v>
      </c>
      <c r="T78" s="122" t="s">
        <v>25</v>
      </c>
      <c r="U78" s="115" t="s">
        <v>25</v>
      </c>
      <c r="V78" s="115" t="s">
        <v>25</v>
      </c>
      <c r="W78" s="194" t="s">
        <v>25</v>
      </c>
      <c r="X78" s="194"/>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Q79" s="96"/>
      <c r="R79" s="115" t="s">
        <v>25</v>
      </c>
      <c r="S79" s="115"/>
      <c r="T79" s="115" t="s">
        <v>25</v>
      </c>
      <c r="U79" s="115" t="s">
        <v>25</v>
      </c>
      <c r="V79" s="122" t="s">
        <v>25</v>
      </c>
      <c r="W79" s="194"/>
      <c r="X79" s="194" t="s">
        <v>25</v>
      </c>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168" t="s">
        <v>656</v>
      </c>
      <c r="R80" s="168"/>
      <c r="S80" s="168"/>
      <c r="T80" s="168"/>
      <c r="U80" s="168"/>
      <c r="V80" s="168"/>
      <c r="W80" s="32"/>
      <c r="X80" s="32"/>
      <c r="Z80" t="s">
        <v>25</v>
      </c>
      <c r="AC80" s="115"/>
      <c r="AD80" s="115"/>
      <c r="AE80" s="115"/>
      <c r="AF80"/>
      <c r="AH80" s="20">
        <v>60</v>
      </c>
      <c r="AI80" s="117" t="s">
        <v>4338</v>
      </c>
      <c r="AJ80" s="117">
        <v>-2450000</v>
      </c>
      <c r="AK80" s="20">
        <v>5</v>
      </c>
      <c r="AL80" s="99">
        <f t="shared" si="23"/>
        <v>383</v>
      </c>
      <c r="AM80" s="117">
        <f>AJ80*AL80</f>
        <v>-938350000</v>
      </c>
      <c r="AN80" s="20"/>
    </row>
    <row r="81" spans="4:52" ht="30">
      <c r="D81" s="31" t="s">
        <v>308</v>
      </c>
      <c r="E81" s="1">
        <v>300000</v>
      </c>
      <c r="G81" s="47">
        <v>500000</v>
      </c>
      <c r="H81" s="48" t="s">
        <v>785</v>
      </c>
      <c r="K81" t="s">
        <v>4520</v>
      </c>
      <c r="Q81" s="168" t="s">
        <v>267</v>
      </c>
      <c r="R81" s="168" t="s">
        <v>180</v>
      </c>
      <c r="S81" s="168" t="s">
        <v>183</v>
      </c>
      <c r="T81" s="168" t="s">
        <v>8</v>
      </c>
      <c r="U81" s="168" t="s">
        <v>4353</v>
      </c>
      <c r="V81" s="73" t="s">
        <v>4355</v>
      </c>
      <c r="W81" s="32">
        <v>2</v>
      </c>
      <c r="X81" s="32">
        <v>4</v>
      </c>
      <c r="AD81" s="115"/>
      <c r="AE81" s="115"/>
      <c r="AF81" s="115"/>
      <c r="AH81" s="20">
        <v>61</v>
      </c>
      <c r="AI81" s="117" t="s">
        <v>4362</v>
      </c>
      <c r="AJ81" s="117">
        <v>-456081</v>
      </c>
      <c r="AK81" s="20">
        <v>1</v>
      </c>
      <c r="AL81" s="99">
        <f t="shared" si="23"/>
        <v>378</v>
      </c>
      <c r="AM81" s="117">
        <f t="shared" si="11"/>
        <v>-172398618</v>
      </c>
      <c r="AN81" s="20"/>
    </row>
    <row r="82" spans="4:52">
      <c r="D82" s="31" t="s">
        <v>309</v>
      </c>
      <c r="E82" s="1">
        <v>100000</v>
      </c>
      <c r="G82" s="47">
        <v>75000</v>
      </c>
      <c r="H82" s="48" t="s">
        <v>786</v>
      </c>
      <c r="K82" t="s">
        <v>4287</v>
      </c>
      <c r="Q82" s="168">
        <v>0</v>
      </c>
      <c r="R82" s="168" t="s">
        <v>4167</v>
      </c>
      <c r="S82" s="168">
        <f>S122</f>
        <v>430</v>
      </c>
      <c r="T82" s="168"/>
      <c r="U82" s="168"/>
      <c r="V82" s="73"/>
      <c r="W82" s="32"/>
      <c r="X82" s="32"/>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9">
        <v>863944</v>
      </c>
      <c r="R83" s="168" t="s">
        <v>4423</v>
      </c>
      <c r="S83" s="168">
        <f>S82-62</f>
        <v>368</v>
      </c>
      <c r="T83" s="190" t="s">
        <v>4494</v>
      </c>
      <c r="U83" s="168">
        <v>184.6</v>
      </c>
      <c r="V83" s="168">
        <f t="shared" ref="V83:V113" si="24">U83*(1+$R$118+$Q$15*S83/36500)</f>
        <v>239.51875287671234</v>
      </c>
      <c r="W83" s="32">
        <f t="shared" ref="W83:W111" si="25">V83*(1+$W$19/100)</f>
        <v>244.30912793424659</v>
      </c>
      <c r="X83" s="32">
        <f t="shared" ref="X83:X111" si="26">V83*(1+$X$19/100)</f>
        <v>249.09950299178084</v>
      </c>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1692313</v>
      </c>
      <c r="R84" s="168" t="s">
        <v>4497</v>
      </c>
      <c r="S84" s="197">
        <f>S83-21</f>
        <v>347</v>
      </c>
      <c r="T84" s="189" t="s">
        <v>4498</v>
      </c>
      <c r="U84" s="168">
        <v>168.5</v>
      </c>
      <c r="V84" s="168">
        <f t="shared" si="24"/>
        <v>215.91451506849319</v>
      </c>
      <c r="W84" s="32">
        <f t="shared" si="25"/>
        <v>220.23280536986306</v>
      </c>
      <c r="X84" s="32">
        <f t="shared" si="26"/>
        <v>224.55109567123293</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101153</v>
      </c>
      <c r="R85" s="168" t="s">
        <v>4500</v>
      </c>
      <c r="S85" s="197">
        <f>S84-1</f>
        <v>346</v>
      </c>
      <c r="T85" s="189" t="s">
        <v>4502</v>
      </c>
      <c r="U85" s="168">
        <v>166.7</v>
      </c>
      <c r="V85" s="168">
        <f t="shared" si="24"/>
        <v>213.48013041095888</v>
      </c>
      <c r="W85" s="32">
        <f t="shared" si="25"/>
        <v>217.74973301917805</v>
      </c>
      <c r="X85" s="32">
        <f t="shared" si="26"/>
        <v>222.01933562739725</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183105</v>
      </c>
      <c r="R86" s="168" t="s">
        <v>4222</v>
      </c>
      <c r="S86" s="197">
        <f>S85-1</f>
        <v>345</v>
      </c>
      <c r="T86" s="189" t="s">
        <v>4506</v>
      </c>
      <c r="U86" s="168">
        <v>166.6</v>
      </c>
      <c r="V86" s="168">
        <f t="shared" si="24"/>
        <v>213.22426520547947</v>
      </c>
      <c r="W86" s="32">
        <f t="shared" si="25"/>
        <v>217.48875050958907</v>
      </c>
      <c r="X86" s="32">
        <f t="shared" si="26"/>
        <v>221.75323581369867</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168846</v>
      </c>
      <c r="R87" s="168" t="s">
        <v>3688</v>
      </c>
      <c r="S87" s="197">
        <f>S86-30</f>
        <v>315</v>
      </c>
      <c r="T87" s="189" t="s">
        <v>4603</v>
      </c>
      <c r="U87" s="168">
        <v>172.2</v>
      </c>
      <c r="V87" s="168">
        <f t="shared" si="24"/>
        <v>216.42850849315067</v>
      </c>
      <c r="W87" s="32">
        <f t="shared" si="25"/>
        <v>220.75707866301369</v>
      </c>
      <c r="X87" s="32">
        <f t="shared" si="26"/>
        <v>225.0856488328767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19918023</v>
      </c>
      <c r="R88" s="5" t="s">
        <v>4854</v>
      </c>
      <c r="S88" s="197">
        <f>S87-75</f>
        <v>240</v>
      </c>
      <c r="T88" s="189" t="s">
        <v>4856</v>
      </c>
      <c r="U88" s="213">
        <v>183</v>
      </c>
      <c r="V88" s="213">
        <f t="shared" si="24"/>
        <v>219.47365479452057</v>
      </c>
      <c r="W88" s="32">
        <f t="shared" si="25"/>
        <v>223.86312789041099</v>
      </c>
      <c r="X88" s="32">
        <f t="shared" si="26"/>
        <v>228.25260098630139</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1200301</v>
      </c>
      <c r="R89" s="19" t="s">
        <v>4941</v>
      </c>
      <c r="S89" s="197">
        <f>S88-34</f>
        <v>206</v>
      </c>
      <c r="T89" s="189" t="s">
        <v>4943</v>
      </c>
      <c r="U89" s="213">
        <v>218.5</v>
      </c>
      <c r="V89" s="213">
        <f t="shared" si="24"/>
        <v>256.35018630136989</v>
      </c>
      <c r="W89" s="32">
        <f t="shared" si="25"/>
        <v>261.47719002739728</v>
      </c>
      <c r="X89" s="32">
        <f t="shared" si="26"/>
        <v>266.60419375342468</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6135206</v>
      </c>
      <c r="R90" s="19" t="s">
        <v>4970</v>
      </c>
      <c r="S90" s="197">
        <f>S89-16</f>
        <v>190</v>
      </c>
      <c r="T90" s="189" t="s">
        <v>4971</v>
      </c>
      <c r="U90" s="213">
        <v>196.2</v>
      </c>
      <c r="V90" s="213">
        <f t="shared" si="24"/>
        <v>227.77906191780824</v>
      </c>
      <c r="W90" s="32">
        <f t="shared" si="25"/>
        <v>232.33464315616442</v>
      </c>
      <c r="X90" s="32">
        <f t="shared" si="26"/>
        <v>236.89022439452057</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5384</v>
      </c>
      <c r="Q91" s="169">
        <v>104578</v>
      </c>
      <c r="R91" s="19" t="s">
        <v>4992</v>
      </c>
      <c r="S91" s="197">
        <f>S90-9</f>
        <v>181</v>
      </c>
      <c r="T91" s="189" t="s">
        <v>4993</v>
      </c>
      <c r="U91" s="213">
        <v>199.8</v>
      </c>
      <c r="V91" s="213">
        <f t="shared" si="24"/>
        <v>230.57905315068496</v>
      </c>
      <c r="W91" s="32">
        <f t="shared" si="25"/>
        <v>235.19063421369867</v>
      </c>
      <c r="X91" s="32">
        <f t="shared" si="26"/>
        <v>239.80221527671236</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5391</v>
      </c>
      <c r="P92" s="115"/>
      <c r="Q92" s="169">
        <v>119253</v>
      </c>
      <c r="R92" s="19" t="s">
        <v>4997</v>
      </c>
      <c r="S92" s="197">
        <f>S91-3</f>
        <v>178</v>
      </c>
      <c r="T92" s="189" t="s">
        <v>4998</v>
      </c>
      <c r="U92" s="213">
        <v>199.5</v>
      </c>
      <c r="V92" s="213">
        <f t="shared" si="24"/>
        <v>229.77371506849317</v>
      </c>
      <c r="W92" s="32">
        <f t="shared" si="25"/>
        <v>234.36918936986305</v>
      </c>
      <c r="X92" s="32">
        <f t="shared" si="26"/>
        <v>238.9646636712329</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30004376</v>
      </c>
      <c r="R93" s="19" t="s">
        <v>5016</v>
      </c>
      <c r="S93" s="197">
        <f>S92-9</f>
        <v>169</v>
      </c>
      <c r="T93" s="189" t="s">
        <v>5017</v>
      </c>
      <c r="U93" s="213">
        <v>200</v>
      </c>
      <c r="V93" s="213">
        <f t="shared" si="24"/>
        <v>228.96876712328771</v>
      </c>
      <c r="W93" s="32">
        <f t="shared" si="25"/>
        <v>233.54814246575347</v>
      </c>
      <c r="X93" s="32">
        <f t="shared" si="26"/>
        <v>238.12751780821921</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119980</v>
      </c>
      <c r="R94" s="19" t="s">
        <v>5044</v>
      </c>
      <c r="S94" s="197">
        <f>S93-8</f>
        <v>161</v>
      </c>
      <c r="T94" s="189" t="s">
        <v>5047</v>
      </c>
      <c r="U94" s="213">
        <v>211</v>
      </c>
      <c r="V94" s="213">
        <f t="shared" si="24"/>
        <v>240.26714520547947</v>
      </c>
      <c r="W94" s="32">
        <f t="shared" si="25"/>
        <v>245.07248810958905</v>
      </c>
      <c r="X94" s="32">
        <f t="shared" si="26"/>
        <v>249.87783101369865</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106716</v>
      </c>
      <c r="R95" s="19" t="s">
        <v>5063</v>
      </c>
      <c r="S95" s="197">
        <f>S94-6</f>
        <v>155</v>
      </c>
      <c r="T95" s="189" t="s">
        <v>5065</v>
      </c>
      <c r="U95" s="213">
        <v>213.3</v>
      </c>
      <c r="V95" s="213">
        <f t="shared" si="24"/>
        <v>241.90440657534251</v>
      </c>
      <c r="W95" s="32">
        <f t="shared" si="25"/>
        <v>246.74249470684936</v>
      </c>
      <c r="X95" s="32">
        <f t="shared" si="26"/>
        <v>251.58058283835621</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1324444</v>
      </c>
      <c r="R96" s="19" t="s">
        <v>5063</v>
      </c>
      <c r="S96" s="197">
        <f>S95</f>
        <v>155</v>
      </c>
      <c r="T96" s="189" t="s">
        <v>5067</v>
      </c>
      <c r="U96" s="213">
        <v>821.9</v>
      </c>
      <c r="V96" s="213">
        <f t="shared" si="24"/>
        <v>932.12016767123293</v>
      </c>
      <c r="W96" s="32">
        <f t="shared" si="25"/>
        <v>950.76257102465763</v>
      </c>
      <c r="X96" s="32">
        <f t="shared" si="26"/>
        <v>969.40497437808233</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240923</v>
      </c>
      <c r="R97" s="19" t="s">
        <v>5093</v>
      </c>
      <c r="S97" s="197">
        <f>S96-19</f>
        <v>136</v>
      </c>
      <c r="T97" s="189" t="s">
        <v>5095</v>
      </c>
      <c r="U97" s="213">
        <v>691.1</v>
      </c>
      <c r="V97" s="213">
        <f t="shared" si="24"/>
        <v>773.70633095890423</v>
      </c>
      <c r="W97" s="32">
        <f t="shared" si="25"/>
        <v>789.18045757808238</v>
      </c>
      <c r="X97" s="32">
        <f t="shared" si="26"/>
        <v>804.65458419726042</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1408805</v>
      </c>
      <c r="R98" s="19" t="s">
        <v>5100</v>
      </c>
      <c r="S98" s="197">
        <f>S97-2</f>
        <v>134</v>
      </c>
      <c r="T98" s="189" t="s">
        <v>5102</v>
      </c>
      <c r="U98" s="213">
        <v>235.2</v>
      </c>
      <c r="V98" s="213">
        <f t="shared" si="24"/>
        <v>262.95231123287675</v>
      </c>
      <c r="W98" s="32">
        <f t="shared" si="25"/>
        <v>268.21135745753429</v>
      </c>
      <c r="X98" s="32">
        <f t="shared" si="26"/>
        <v>273.47040368219183</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4507053</v>
      </c>
      <c r="R99" s="19" t="s">
        <v>5104</v>
      </c>
      <c r="S99" s="197">
        <f>S98-1</f>
        <v>133</v>
      </c>
      <c r="T99" s="189" t="s">
        <v>5105</v>
      </c>
      <c r="U99" s="213">
        <v>225</v>
      </c>
      <c r="V99" s="213">
        <f t="shared" si="24"/>
        <v>251.37616438356164</v>
      </c>
      <c r="W99" s="32">
        <f t="shared" si="25"/>
        <v>256.40368767123289</v>
      </c>
      <c r="X99" s="32">
        <f t="shared" si="26"/>
        <v>261.4312109589041</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1927152</v>
      </c>
      <c r="R100" s="19" t="s">
        <v>5098</v>
      </c>
      <c r="S100" s="197">
        <f>S99-1</f>
        <v>132</v>
      </c>
      <c r="T100" s="189" t="s">
        <v>5106</v>
      </c>
      <c r="U100" s="213">
        <v>232.6</v>
      </c>
      <c r="V100" s="213">
        <f t="shared" si="24"/>
        <v>259.68865972602742</v>
      </c>
      <c r="W100" s="32">
        <f t="shared" si="25"/>
        <v>264.88243292054796</v>
      </c>
      <c r="X100" s="32">
        <f t="shared" si="26"/>
        <v>270.07620611506854</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40486</v>
      </c>
      <c r="R101" s="19" t="s">
        <v>5123</v>
      </c>
      <c r="S101" s="197">
        <f>S100-13</f>
        <v>119</v>
      </c>
      <c r="T101" s="189" t="s">
        <v>5160</v>
      </c>
      <c r="U101" s="213">
        <v>707</v>
      </c>
      <c r="V101" s="213">
        <f t="shared" si="24"/>
        <v>782.28678356164392</v>
      </c>
      <c r="W101" s="32">
        <f t="shared" si="25"/>
        <v>797.93251923287676</v>
      </c>
      <c r="X101" s="32">
        <f t="shared" si="26"/>
        <v>813.57825490410971</v>
      </c>
      <c r="Y101" s="96">
        <v>0</v>
      </c>
      <c r="AH101" s="99">
        <v>81</v>
      </c>
      <c r="AI101" s="113" t="s">
        <v>4543</v>
      </c>
      <c r="AJ101" s="113">
        <v>400000</v>
      </c>
      <c r="AK101" s="99">
        <v>0</v>
      </c>
      <c r="AL101" s="99">
        <f t="shared" si="27"/>
        <v>334</v>
      </c>
      <c r="AM101" s="117">
        <f t="shared" si="11"/>
        <v>133600000</v>
      </c>
      <c r="AN101" s="99"/>
    </row>
    <row r="102" spans="4:47">
      <c r="F102" s="199">
        <f>$L$110/G102</f>
        <v>13053.613053613055</v>
      </c>
      <c r="G102" s="199">
        <f>P47</f>
        <v>343.2</v>
      </c>
      <c r="H102" s="199" t="s">
        <v>4773</v>
      </c>
      <c r="I102" s="199" t="s">
        <v>4772</v>
      </c>
      <c r="J102" s="214" t="s">
        <v>4234</v>
      </c>
      <c r="K102" s="199">
        <v>175</v>
      </c>
      <c r="L102" s="215">
        <f t="shared" ref="L102:L107" si="28">K102*$L$110</f>
        <v>784000000</v>
      </c>
      <c r="M102" s="215">
        <f>N21+N31+N47</f>
        <v>1722442207.1999998</v>
      </c>
      <c r="N102" s="183">
        <f t="shared" ref="N102:N106" si="29">L102-M102</f>
        <v>-938442207.19999981</v>
      </c>
      <c r="Q102" s="169">
        <v>160558</v>
      </c>
      <c r="R102" s="19" t="s">
        <v>5193</v>
      </c>
      <c r="S102" s="197">
        <f>S101-36</f>
        <v>83</v>
      </c>
      <c r="T102" s="189" t="s">
        <v>5195</v>
      </c>
      <c r="U102" s="213">
        <v>4319.3999999999996</v>
      </c>
      <c r="V102" s="213">
        <f t="shared" si="24"/>
        <v>4660.0764032876714</v>
      </c>
      <c r="W102" s="32">
        <f t="shared" si="25"/>
        <v>4753.2779313534247</v>
      </c>
      <c r="X102" s="32">
        <f t="shared" si="26"/>
        <v>4846.4794594191781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123799</v>
      </c>
      <c r="R103" s="19" t="s">
        <v>5193</v>
      </c>
      <c r="S103" s="197">
        <f>S102</f>
        <v>83</v>
      </c>
      <c r="T103" s="189" t="s">
        <v>5196</v>
      </c>
      <c r="U103" s="213">
        <v>790</v>
      </c>
      <c r="V103" s="213">
        <f t="shared" si="24"/>
        <v>852.30827397260282</v>
      </c>
      <c r="W103" s="32">
        <f t="shared" si="25"/>
        <v>869.35443945205486</v>
      </c>
      <c r="X103" s="32">
        <f t="shared" si="26"/>
        <v>886.40060493150702</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108400</v>
      </c>
      <c r="R104" s="19" t="s">
        <v>5198</v>
      </c>
      <c r="S104" s="197">
        <f>S103-3</f>
        <v>80</v>
      </c>
      <c r="T104" s="189" t="s">
        <v>5199</v>
      </c>
      <c r="U104" s="213">
        <v>4316</v>
      </c>
      <c r="V104" s="213">
        <f t="shared" si="24"/>
        <v>4646.4755287671242</v>
      </c>
      <c r="W104" s="32">
        <f t="shared" si="25"/>
        <v>4739.4050393424668</v>
      </c>
      <c r="X104" s="32">
        <f t="shared" si="26"/>
        <v>4832.3345499178095</v>
      </c>
      <c r="Y104" s="96">
        <v>5664</v>
      </c>
      <c r="AH104" s="99">
        <v>84</v>
      </c>
      <c r="AI104" s="113" t="s">
        <v>4546</v>
      </c>
      <c r="AJ104" s="113">
        <v>3900000</v>
      </c>
      <c r="AK104" s="99">
        <v>3</v>
      </c>
      <c r="AL104" s="99">
        <f t="shared" si="27"/>
        <v>333</v>
      </c>
      <c r="AM104" s="117">
        <f t="shared" si="11"/>
        <v>1298700000</v>
      </c>
      <c r="AN104" s="99"/>
    </row>
    <row r="105" spans="4:47">
      <c r="F105" s="213">
        <f>$L$110/G105</f>
        <v>5083.9763958238764</v>
      </c>
      <c r="G105" s="213">
        <f>P45</f>
        <v>881.2</v>
      </c>
      <c r="H105" s="213" t="s">
        <v>4665</v>
      </c>
      <c r="I105" s="213" t="s">
        <v>4664</v>
      </c>
      <c r="J105" s="32" t="s">
        <v>4398</v>
      </c>
      <c r="K105" s="213">
        <v>43</v>
      </c>
      <c r="L105" s="1">
        <f t="shared" si="28"/>
        <v>192640000</v>
      </c>
      <c r="M105" s="1">
        <f>N45+N25</f>
        <v>219897291.59999999</v>
      </c>
      <c r="N105" s="113">
        <f t="shared" si="29"/>
        <v>-27257291.599999994</v>
      </c>
      <c r="Q105" s="169">
        <v>11503451</v>
      </c>
      <c r="R105" s="19" t="s">
        <v>5239</v>
      </c>
      <c r="S105" s="197">
        <f>S104-17</f>
        <v>63</v>
      </c>
      <c r="T105" s="189" t="s">
        <v>5240</v>
      </c>
      <c r="U105" s="213">
        <v>293.2</v>
      </c>
      <c r="V105" s="213">
        <f t="shared" si="24"/>
        <v>311.826634520548</v>
      </c>
      <c r="W105" s="32">
        <f t="shared" si="25"/>
        <v>318.06316721095897</v>
      </c>
      <c r="X105" s="32">
        <f t="shared" si="26"/>
        <v>324.29969990136993</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4480000</v>
      </c>
      <c r="M106" s="215">
        <f>0</f>
        <v>0</v>
      </c>
      <c r="N106" s="183">
        <f t="shared" si="29"/>
        <v>4480000</v>
      </c>
      <c r="Q106" s="169">
        <v>6153126</v>
      </c>
      <c r="R106" s="19" t="s">
        <v>5273</v>
      </c>
      <c r="S106" s="197">
        <f>S105-4</f>
        <v>59</v>
      </c>
      <c r="T106" s="189" t="s">
        <v>5275</v>
      </c>
      <c r="U106" s="213">
        <v>7469.9</v>
      </c>
      <c r="V106" s="213">
        <f t="shared" si="24"/>
        <v>7921.5322005479447</v>
      </c>
      <c r="W106" s="32">
        <f t="shared" si="25"/>
        <v>8079.9628445589042</v>
      </c>
      <c r="X106" s="32">
        <f t="shared" si="26"/>
        <v>8238.3934885698636</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5367</v>
      </c>
      <c r="K107" s="191">
        <v>208</v>
      </c>
      <c r="L107" s="258">
        <f t="shared" si="28"/>
        <v>931840000</v>
      </c>
      <c r="M107" s="258">
        <v>0</v>
      </c>
      <c r="N107" s="86">
        <f>L107-M107</f>
        <v>931840000</v>
      </c>
      <c r="Q107" s="169">
        <v>1500533</v>
      </c>
      <c r="R107" s="19" t="s">
        <v>5278</v>
      </c>
      <c r="S107" s="197">
        <f>S106-1</f>
        <v>58</v>
      </c>
      <c r="T107" s="189" t="s">
        <v>5280</v>
      </c>
      <c r="U107" s="213">
        <v>7046</v>
      </c>
      <c r="V107" s="213">
        <f t="shared" si="24"/>
        <v>7466.597939726028</v>
      </c>
      <c r="W107" s="32">
        <f t="shared" si="25"/>
        <v>7615.9298985205487</v>
      </c>
      <c r="X107" s="32">
        <f t="shared" si="26"/>
        <v>7765.2618573150694</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360926</v>
      </c>
      <c r="R108" s="19" t="s">
        <v>5289</v>
      </c>
      <c r="S108" s="197">
        <f>S107-2</f>
        <v>56</v>
      </c>
      <c r="T108" s="189" t="s">
        <v>5292</v>
      </c>
      <c r="U108" s="213">
        <v>7045</v>
      </c>
      <c r="V108" s="213">
        <f t="shared" si="24"/>
        <v>7454.7294794520558</v>
      </c>
      <c r="W108" s="32">
        <f t="shared" si="25"/>
        <v>7603.8240690410967</v>
      </c>
      <c r="X108" s="32">
        <f t="shared" si="26"/>
        <v>7752.9186586301385</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427</v>
      </c>
      <c r="L109" s="215"/>
      <c r="M109" s="215"/>
      <c r="N109" s="183"/>
      <c r="Q109" s="169">
        <v>232964</v>
      </c>
      <c r="R109" s="19" t="s">
        <v>5309</v>
      </c>
      <c r="S109" s="197">
        <f>S108-7</f>
        <v>49</v>
      </c>
      <c r="T109" s="189" t="s">
        <v>5310</v>
      </c>
      <c r="U109" s="213">
        <v>295.39999999999998</v>
      </c>
      <c r="V109" s="213">
        <f t="shared" si="24"/>
        <v>310.99388273972602</v>
      </c>
      <c r="W109" s="32">
        <f t="shared" si="25"/>
        <v>317.21376039452053</v>
      </c>
      <c r="X109" s="32">
        <f t="shared" si="26"/>
        <v>323.43363804931505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4480000</v>
      </c>
      <c r="M110" s="1">
        <f>K110*L110</f>
        <v>0</v>
      </c>
      <c r="N110" s="113">
        <f>SUM(N102:N108)-M110</f>
        <v>620501.20000016689</v>
      </c>
      <c r="P110" s="114"/>
      <c r="Q110" s="169">
        <v>1005042</v>
      </c>
      <c r="R110" s="19" t="s">
        <v>5320</v>
      </c>
      <c r="S110" s="197">
        <f>S109-5</f>
        <v>44</v>
      </c>
      <c r="T110" s="189" t="s">
        <v>5322</v>
      </c>
      <c r="U110" s="213">
        <v>7250</v>
      </c>
      <c r="V110" s="213">
        <f t="shared" si="24"/>
        <v>7604.9123287671237</v>
      </c>
      <c r="W110" s="32">
        <f t="shared" si="25"/>
        <v>7757.0105753424659</v>
      </c>
      <c r="X110" s="32">
        <f t="shared" si="26"/>
        <v>7909.1088219178091</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233944</v>
      </c>
      <c r="R111" s="19" t="s">
        <v>5344</v>
      </c>
      <c r="S111" s="197">
        <f>S110-8</f>
        <v>36</v>
      </c>
      <c r="T111" s="189" t="s">
        <v>5346</v>
      </c>
      <c r="U111" s="213">
        <v>306.39999999999998</v>
      </c>
      <c r="V111" s="213">
        <f t="shared" si="24"/>
        <v>319.51895671232876</v>
      </c>
      <c r="W111" s="32">
        <f t="shared" si="25"/>
        <v>325.90933584657535</v>
      </c>
      <c r="X111" s="32">
        <f t="shared" si="26"/>
        <v>332.29971498082193</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268420</v>
      </c>
      <c r="R112" s="19" t="s">
        <v>5358</v>
      </c>
      <c r="S112" s="197">
        <f>S111-9</f>
        <v>27</v>
      </c>
      <c r="T112" s="189" t="s">
        <v>5360</v>
      </c>
      <c r="U112" s="213">
        <v>6680.2</v>
      </c>
      <c r="V112" s="213">
        <f t="shared" si="24"/>
        <v>6920.1015386301378</v>
      </c>
      <c r="W112" s="32">
        <f t="shared" ref="W112:W113" si="30">V112*(1+$W$19/100)</f>
        <v>7058.503569402741</v>
      </c>
      <c r="X112" s="32">
        <f t="shared" ref="X112:X113" si="31">V112*(1+$X$19/100)</f>
        <v>7196.9056001753434</v>
      </c>
      <c r="Y112">
        <v>13000</v>
      </c>
      <c r="AH112" s="99">
        <v>92</v>
      </c>
      <c r="AI112" s="113" t="s">
        <v>4573</v>
      </c>
      <c r="AJ112" s="113">
        <v>-15000000</v>
      </c>
      <c r="AK112" s="99">
        <v>0</v>
      </c>
      <c r="AL112" s="99">
        <f t="shared" si="27"/>
        <v>320</v>
      </c>
      <c r="AM112" s="117">
        <f t="shared" si="11"/>
        <v>-4800000000</v>
      </c>
      <c r="AN112" s="99"/>
      <c r="AO112" t="s">
        <v>25</v>
      </c>
    </row>
    <row r="113" spans="6:46">
      <c r="M113" t="s">
        <v>25</v>
      </c>
      <c r="Q113" s="169"/>
      <c r="R113" s="168"/>
      <c r="S113" s="113"/>
      <c r="T113" s="113"/>
      <c r="U113" s="168" t="s">
        <v>25</v>
      </c>
      <c r="V113" s="213" t="e">
        <f t="shared" si="24"/>
        <v>#VALUE!</v>
      </c>
      <c r="W113" s="32" t="e">
        <f t="shared" si="30"/>
        <v>#VALUE!</v>
      </c>
      <c r="X113" s="32" t="e">
        <f t="shared" si="31"/>
        <v>#VALUE!</v>
      </c>
      <c r="Y113" t="s">
        <v>25</v>
      </c>
      <c r="AH113" s="99">
        <v>93</v>
      </c>
      <c r="AI113" s="113" t="s">
        <v>4573</v>
      </c>
      <c r="AJ113" s="113">
        <v>3000000</v>
      </c>
      <c r="AK113" s="99">
        <v>1</v>
      </c>
      <c r="AL113" s="99">
        <f t="shared" si="27"/>
        <v>320</v>
      </c>
      <c r="AM113" s="117">
        <f t="shared" si="11"/>
        <v>960000000</v>
      </c>
      <c r="AN113" s="99"/>
    </row>
    <row r="114" spans="6:46">
      <c r="P114" s="114"/>
      <c r="Q114" s="113">
        <f>SUM(N28:N31)-SUM(Q82:Q113)</f>
        <v>52305058.900000006</v>
      </c>
      <c r="R114" s="168"/>
      <c r="S114" s="168"/>
      <c r="T114" s="168"/>
      <c r="U114" s="168"/>
      <c r="V114" s="168"/>
      <c r="W114" s="32"/>
      <c r="X114" s="32"/>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R115" s="115"/>
      <c r="S115" s="115"/>
      <c r="T115" s="115" t="s">
        <v>25</v>
      </c>
      <c r="U115" s="115" t="s">
        <v>25</v>
      </c>
      <c r="V115" s="115" t="s">
        <v>25</v>
      </c>
      <c r="W115" s="194" t="s">
        <v>25</v>
      </c>
      <c r="X115" s="194"/>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Q116" s="99" t="s">
        <v>947</v>
      </c>
      <c r="R116" s="99">
        <v>1.03E-2</v>
      </c>
      <c r="S116" s="26" t="s">
        <v>25</v>
      </c>
      <c r="T116" t="s">
        <v>25</v>
      </c>
      <c r="U116" s="96"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5307</v>
      </c>
      <c r="I117" s="213" t="s">
        <v>5296</v>
      </c>
      <c r="J117" s="1">
        <v>19922415</v>
      </c>
      <c r="K117" s="5" t="s">
        <v>4520</v>
      </c>
      <c r="L117" s="169">
        <v>1100000</v>
      </c>
      <c r="M117" s="169">
        <v>4748000</v>
      </c>
      <c r="N117" s="168">
        <f t="shared" si="32"/>
        <v>331.63636363636363</v>
      </c>
      <c r="Q117" s="99" t="s">
        <v>61</v>
      </c>
      <c r="R117" s="99">
        <v>4.8999999999999998E-3</v>
      </c>
      <c r="T117" t="s">
        <v>25</v>
      </c>
      <c r="U117" s="96" t="s">
        <v>25</v>
      </c>
      <c r="V117"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v>
      </c>
      <c r="R118" s="99">
        <f>R116+R117</f>
        <v>1.52E-2</v>
      </c>
      <c r="T118" t="s">
        <v>25</v>
      </c>
      <c r="U118" s="96" t="s">
        <v>25</v>
      </c>
      <c r="V118" t="s">
        <v>25</v>
      </c>
      <c r="W118" s="194"/>
      <c r="X118" s="194"/>
      <c r="AH118" s="99">
        <v>98</v>
      </c>
      <c r="AI118" s="113" t="s">
        <v>4591</v>
      </c>
      <c r="AJ118" s="113">
        <v>13900000</v>
      </c>
      <c r="AK118" s="99">
        <v>2</v>
      </c>
      <c r="AL118" s="99">
        <f t="shared" si="27"/>
        <v>315</v>
      </c>
      <c r="AM118" s="117">
        <f t="shared" si="11"/>
        <v>4378500000</v>
      </c>
      <c r="AN118" s="99"/>
    </row>
    <row r="119" spans="6:46">
      <c r="F119" s="96"/>
      <c r="G119" s="1">
        <f>P47</f>
        <v>343.2</v>
      </c>
      <c r="H119" s="213" t="s">
        <v>4234</v>
      </c>
      <c r="I119" s="213">
        <v>129827</v>
      </c>
      <c r="J119" s="1">
        <f>I119*G119</f>
        <v>44556626.399999999</v>
      </c>
      <c r="K119" s="19" t="s">
        <v>4380</v>
      </c>
      <c r="L119" s="169">
        <v>1100000</v>
      </c>
      <c r="M119" s="169">
        <v>4300000</v>
      </c>
      <c r="N119" s="168">
        <f t="shared" si="32"/>
        <v>290.90909090909093</v>
      </c>
      <c r="P119" s="114"/>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ht="30">
      <c r="F120" s="96"/>
      <c r="G120" s="1">
        <f>P45</f>
        <v>881.2</v>
      </c>
      <c r="H120" s="213" t="s">
        <v>4398</v>
      </c>
      <c r="I120" s="213">
        <v>1205</v>
      </c>
      <c r="J120" s="1">
        <f t="shared" ref="J120:J121" si="33">I120*G120</f>
        <v>1061846</v>
      </c>
      <c r="K120" s="5" t="s">
        <v>4398</v>
      </c>
      <c r="L120" s="169">
        <v>1100000</v>
      </c>
      <c r="M120" s="169">
        <v>3191000</v>
      </c>
      <c r="N120" s="168">
        <f t="shared" si="32"/>
        <v>190.09090909090909</v>
      </c>
      <c r="Q120" s="73" t="s">
        <v>4286</v>
      </c>
      <c r="R120" s="112"/>
      <c r="S120" s="112"/>
      <c r="T120" s="112"/>
      <c r="U120" s="168" t="s">
        <v>4353</v>
      </c>
      <c r="V120" s="36" t="s">
        <v>4355</v>
      </c>
      <c r="W120" s="32"/>
      <c r="X120" s="32"/>
      <c r="AH120" s="99">
        <v>100</v>
      </c>
      <c r="AI120" s="113" t="s">
        <v>3688</v>
      </c>
      <c r="AJ120" s="113">
        <v>15792549</v>
      </c>
      <c r="AK120" s="99">
        <v>3</v>
      </c>
      <c r="AL120" s="99">
        <f t="shared" si="27"/>
        <v>312</v>
      </c>
      <c r="AM120" s="117">
        <f t="shared" si="11"/>
        <v>4927275288</v>
      </c>
      <c r="AN120" s="99"/>
      <c r="AO120" t="s">
        <v>25</v>
      </c>
      <c r="AP120" t="s">
        <v>25</v>
      </c>
    </row>
    <row r="121" spans="6:46">
      <c r="F121" s="96"/>
      <c r="G121" s="1">
        <f>P46</f>
        <v>6835.1</v>
      </c>
      <c r="H121" s="213" t="s">
        <v>4384</v>
      </c>
      <c r="I121" s="213">
        <v>1399</v>
      </c>
      <c r="J121" s="1">
        <f t="shared" si="33"/>
        <v>9562304.9000000004</v>
      </c>
      <c r="K121" s="5" t="s">
        <v>4522</v>
      </c>
      <c r="L121" s="169">
        <v>1100000</v>
      </c>
      <c r="M121" s="169">
        <v>5623000</v>
      </c>
      <c r="N121" s="168">
        <f t="shared" si="32"/>
        <v>411.18181818181819</v>
      </c>
      <c r="Q121" s="112" t="s">
        <v>267</v>
      </c>
      <c r="R121" s="112" t="s">
        <v>180</v>
      </c>
      <c r="S121" s="112" t="s">
        <v>183</v>
      </c>
      <c r="T121" s="112" t="s">
        <v>8</v>
      </c>
      <c r="U121" s="168"/>
      <c r="V121" s="99"/>
      <c r="W121" s="32">
        <v>2</v>
      </c>
      <c r="X121" s="32">
        <v>4</v>
      </c>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35">
        <v>184971545</v>
      </c>
      <c r="R122" s="5" t="s">
        <v>4167</v>
      </c>
      <c r="S122" s="5">
        <v>430</v>
      </c>
      <c r="T122" s="5" t="s">
        <v>4336</v>
      </c>
      <c r="U122" s="168">
        <v>192</v>
      </c>
      <c r="V122" s="99">
        <f t="shared" ref="V122:V153" si="36">U122*(1+$R$118+$Q$15*S122/36500)</f>
        <v>258.25209863013703</v>
      </c>
      <c r="W122" s="32">
        <f t="shared" ref="W122:W138" si="37">V122*(1+$W$19/100)</f>
        <v>263.41714060273978</v>
      </c>
      <c r="X122" s="32">
        <f t="shared" ref="X122:X138" si="38">V122*(1+$X$19/100)</f>
        <v>268.58218257534253</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35258362.299999997</v>
      </c>
      <c r="J123" s="1">
        <f>SUM(J119:J122)</f>
        <v>55180777.299999997</v>
      </c>
      <c r="K123" s="5" t="s">
        <v>4524</v>
      </c>
      <c r="L123" s="169">
        <v>1100000</v>
      </c>
      <c r="M123" s="169">
        <v>2904000</v>
      </c>
      <c r="N123" s="168">
        <f t="shared" si="32"/>
        <v>164</v>
      </c>
      <c r="Q123" s="35">
        <v>9560464</v>
      </c>
      <c r="R123" s="5" t="s">
        <v>4290</v>
      </c>
      <c r="S123" s="5">
        <f>S122-31</f>
        <v>399</v>
      </c>
      <c r="T123" s="5" t="s">
        <v>4303</v>
      </c>
      <c r="U123" s="168">
        <v>214.57</v>
      </c>
      <c r="V123" s="99">
        <f t="shared" si="36"/>
        <v>283.50751989041095</v>
      </c>
      <c r="W123" s="32">
        <f t="shared" si="37"/>
        <v>289.17767028821919</v>
      </c>
      <c r="X123" s="32">
        <f t="shared" si="38"/>
        <v>294.84782068602738</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2000000</v>
      </c>
      <c r="R124" s="5" t="s">
        <v>4333</v>
      </c>
      <c r="S124" s="5">
        <f>S123-11</f>
        <v>388</v>
      </c>
      <c r="T124" s="5" t="s">
        <v>4335</v>
      </c>
      <c r="U124" s="168">
        <v>206.8</v>
      </c>
      <c r="V124" s="99">
        <f t="shared" si="36"/>
        <v>271.49610520547947</v>
      </c>
      <c r="W124" s="32">
        <f t="shared" si="37"/>
        <v>276.92602730958907</v>
      </c>
      <c r="X124" s="32">
        <f t="shared" si="38"/>
        <v>282.35594941369868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1429825</v>
      </c>
      <c r="R125" s="5" t="s">
        <v>4362</v>
      </c>
      <c r="S125" s="5">
        <f>S124-7</f>
        <v>381</v>
      </c>
      <c r="T125" s="5" t="s">
        <v>4371</v>
      </c>
      <c r="U125" s="168">
        <v>203.9</v>
      </c>
      <c r="V125" s="99">
        <f t="shared" si="36"/>
        <v>266.59394301369866</v>
      </c>
      <c r="W125" s="32">
        <f t="shared" si="37"/>
        <v>271.92582187397267</v>
      </c>
      <c r="X125" s="32">
        <f t="shared" si="38"/>
        <v>277.25770073424661</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5224</v>
      </c>
      <c r="J126" s="1">
        <v>16319143</v>
      </c>
      <c r="K126" s="242" t="s">
        <v>4554</v>
      </c>
      <c r="Q126" s="35">
        <v>1420747</v>
      </c>
      <c r="R126" s="5" t="s">
        <v>4362</v>
      </c>
      <c r="S126" s="5">
        <f>S125</f>
        <v>381</v>
      </c>
      <c r="T126" s="5" t="s">
        <v>4373</v>
      </c>
      <c r="U126" s="168">
        <v>203.1</v>
      </c>
      <c r="V126" s="99">
        <f t="shared" si="36"/>
        <v>265.54796383561643</v>
      </c>
      <c r="W126" s="32">
        <f t="shared" si="37"/>
        <v>270.85892311232874</v>
      </c>
      <c r="X126" s="32">
        <f t="shared" si="38"/>
        <v>276.16988238904111</v>
      </c>
      <c r="Y126" t="s">
        <v>25</v>
      </c>
      <c r="AH126" s="99">
        <v>106</v>
      </c>
      <c r="AI126" s="113" t="s">
        <v>4539</v>
      </c>
      <c r="AJ126" s="113">
        <v>101000</v>
      </c>
      <c r="AK126" s="99">
        <v>0</v>
      </c>
      <c r="AL126" s="99">
        <f>AL127+AK126</f>
        <v>306</v>
      </c>
      <c r="AM126" s="117">
        <f t="shared" si="35"/>
        <v>30906000</v>
      </c>
      <c r="AN126" s="99"/>
      <c r="AQ126" t="s">
        <v>25</v>
      </c>
    </row>
    <row r="127" spans="6:46">
      <c r="G127" s="1">
        <f>P47</f>
        <v>343.2</v>
      </c>
      <c r="H127" s="213" t="s">
        <v>4234</v>
      </c>
      <c r="I127" s="213">
        <v>50896</v>
      </c>
      <c r="J127" s="1">
        <f>G127*I127</f>
        <v>17467507.199999999</v>
      </c>
      <c r="K127" s="242" t="s">
        <v>4555</v>
      </c>
      <c r="Q127" s="35">
        <v>2010885</v>
      </c>
      <c r="R127" s="5" t="s">
        <v>4382</v>
      </c>
      <c r="S127" s="5">
        <f>S126-3</f>
        <v>378</v>
      </c>
      <c r="T127" s="5" t="s">
        <v>4387</v>
      </c>
      <c r="U127" s="168">
        <v>202.1</v>
      </c>
      <c r="V127" s="99">
        <f t="shared" si="36"/>
        <v>263.77538301369862</v>
      </c>
      <c r="W127" s="32">
        <f t="shared" si="37"/>
        <v>269.05089067397262</v>
      </c>
      <c r="X127" s="32">
        <f t="shared" si="38"/>
        <v>274.32639833424656</v>
      </c>
      <c r="AH127" s="149">
        <v>107</v>
      </c>
      <c r="AI127" s="188" t="s">
        <v>4615</v>
      </c>
      <c r="AJ127" s="188">
        <v>-48200</v>
      </c>
      <c r="AK127" s="149">
        <v>0</v>
      </c>
      <c r="AL127" s="149">
        <f t="shared" ref="AL127:AL177" si="39">AL128+AK127</f>
        <v>306</v>
      </c>
      <c r="AM127" s="188">
        <f t="shared" si="35"/>
        <v>-14749200</v>
      </c>
      <c r="AN127" s="149" t="s">
        <v>4624</v>
      </c>
    </row>
    <row r="128" spans="6:46">
      <c r="G128" s="1">
        <f>P45</f>
        <v>881.2</v>
      </c>
      <c r="H128" s="213" t="s">
        <v>4398</v>
      </c>
      <c r="I128" s="213">
        <v>2304</v>
      </c>
      <c r="J128" s="1">
        <f t="shared" ref="J128:J129" si="40">G128*I128</f>
        <v>2030284.8</v>
      </c>
      <c r="Q128" s="35">
        <v>444</v>
      </c>
      <c r="R128" s="5" t="s">
        <v>4392</v>
      </c>
      <c r="S128" s="5">
        <f>S127-3</f>
        <v>375</v>
      </c>
      <c r="T128" s="5" t="s">
        <v>4593</v>
      </c>
      <c r="U128" s="168">
        <v>441.8</v>
      </c>
      <c r="V128" s="99">
        <f t="shared" si="36"/>
        <v>575.60851068493162</v>
      </c>
      <c r="W128" s="32">
        <f t="shared" si="37"/>
        <v>587.12068089863021</v>
      </c>
      <c r="X128" s="32">
        <f t="shared" si="38"/>
        <v>598.63285111232892</v>
      </c>
      <c r="AH128" s="89">
        <v>108</v>
      </c>
      <c r="AI128" s="90" t="s">
        <v>4615</v>
      </c>
      <c r="AJ128" s="90">
        <v>39327293</v>
      </c>
      <c r="AK128" s="89">
        <v>4</v>
      </c>
      <c r="AL128" s="149">
        <f t="shared" si="39"/>
        <v>306</v>
      </c>
      <c r="AM128" s="188">
        <f t="shared" si="35"/>
        <v>12034151658</v>
      </c>
      <c r="AN128" s="89" t="s">
        <v>4625</v>
      </c>
    </row>
    <row r="129" spans="6:43">
      <c r="G129" s="1">
        <f>P44</f>
        <v>6243.5</v>
      </c>
      <c r="H129" s="213" t="s">
        <v>4380</v>
      </c>
      <c r="I129" s="213">
        <v>715</v>
      </c>
      <c r="J129" s="1">
        <f t="shared" si="40"/>
        <v>4464102.5</v>
      </c>
      <c r="Q129" s="35">
        <v>1971103</v>
      </c>
      <c r="R129" s="5" t="s">
        <v>4403</v>
      </c>
      <c r="S129" s="5">
        <f>S128-1</f>
        <v>374</v>
      </c>
      <c r="T129" s="5" t="s">
        <v>4404</v>
      </c>
      <c r="U129" s="168">
        <v>196.2</v>
      </c>
      <c r="V129" s="99">
        <f t="shared" si="36"/>
        <v>255.47282630136991</v>
      </c>
      <c r="W129" s="32">
        <f t="shared" si="37"/>
        <v>260.58228282739731</v>
      </c>
      <c r="X129" s="32">
        <f t="shared" si="38"/>
        <v>265.69173935342474</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1049856</v>
      </c>
      <c r="R130" s="5" t="s">
        <v>4423</v>
      </c>
      <c r="S130" s="5">
        <f>S129-6</f>
        <v>368</v>
      </c>
      <c r="T130" s="5" t="s">
        <v>4461</v>
      </c>
      <c r="U130" s="168">
        <v>184.5</v>
      </c>
      <c r="V130" s="99">
        <f t="shared" si="36"/>
        <v>239.38900273972604</v>
      </c>
      <c r="W130" s="32">
        <f t="shared" si="37"/>
        <v>244.17678279452056</v>
      </c>
      <c r="X130" s="32">
        <f t="shared" si="38"/>
        <v>248.96456284931509</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7642751.5</v>
      </c>
      <c r="J131" s="1">
        <f>SUM(J127:J130)</f>
        <v>23961894.5</v>
      </c>
      <c r="Q131" s="35">
        <v>1783234</v>
      </c>
      <c r="R131" s="5" t="s">
        <v>4425</v>
      </c>
      <c r="S131" s="5">
        <f>S130-2</f>
        <v>366</v>
      </c>
      <c r="T131" s="5" t="s">
        <v>4426</v>
      </c>
      <c r="U131" s="168">
        <v>177.5</v>
      </c>
      <c r="V131" s="99">
        <f t="shared" si="36"/>
        <v>230.03416438356166</v>
      </c>
      <c r="W131" s="32">
        <f t="shared" si="37"/>
        <v>234.6348476712329</v>
      </c>
      <c r="X131" s="32">
        <f t="shared" si="38"/>
        <v>239.23553095890412</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1662335</v>
      </c>
      <c r="R132" s="5" t="s">
        <v>4429</v>
      </c>
      <c r="S132" s="5">
        <f>S131-5</f>
        <v>361</v>
      </c>
      <c r="T132" s="218" t="s">
        <v>4576</v>
      </c>
      <c r="U132" s="168">
        <v>190.3</v>
      </c>
      <c r="V132" s="99">
        <f t="shared" si="36"/>
        <v>245.89262575342468</v>
      </c>
      <c r="W132" s="32">
        <f t="shared" si="37"/>
        <v>250.81047826849317</v>
      </c>
      <c r="X132" s="32">
        <f t="shared" si="38"/>
        <v>255.72833078356169</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2272487</v>
      </c>
      <c r="R133" s="5" t="s">
        <v>4586</v>
      </c>
      <c r="S133" s="5">
        <f>S132-42</f>
        <v>319</v>
      </c>
      <c r="T133" s="5" t="s">
        <v>4587</v>
      </c>
      <c r="U133" s="168">
        <v>174.9</v>
      </c>
      <c r="V133" s="99">
        <f t="shared" si="36"/>
        <v>220.35866630136991</v>
      </c>
      <c r="W133" s="32">
        <f t="shared" si="37"/>
        <v>224.7658396273973</v>
      </c>
      <c r="X133" s="32">
        <f t="shared" si="38"/>
        <v>229.17301295342472</v>
      </c>
      <c r="AH133" s="20">
        <v>113</v>
      </c>
      <c r="AI133" s="117" t="s">
        <v>4653</v>
      </c>
      <c r="AJ133" s="117">
        <v>-980000</v>
      </c>
      <c r="AK133" s="20">
        <v>0</v>
      </c>
      <c r="AL133" s="99">
        <f t="shared" si="39"/>
        <v>299</v>
      </c>
      <c r="AM133" s="117">
        <f t="shared" si="35"/>
        <v>-293020000</v>
      </c>
      <c r="AN133" s="20"/>
    </row>
    <row r="134" spans="6:43">
      <c r="G134" s="213"/>
      <c r="H134" s="213" t="s">
        <v>5362</v>
      </c>
      <c r="I134" s="213" t="s">
        <v>5225</v>
      </c>
      <c r="J134" s="1">
        <v>19795000</v>
      </c>
      <c r="K134" t="s">
        <v>25</v>
      </c>
      <c r="M134">
        <v>126</v>
      </c>
      <c r="N134">
        <v>1</v>
      </c>
      <c r="O134">
        <f>M134*N134</f>
        <v>126</v>
      </c>
      <c r="Q134" s="35">
        <v>3975257</v>
      </c>
      <c r="R134" s="5" t="s">
        <v>4591</v>
      </c>
      <c r="S134" s="5">
        <f>S133-1</f>
        <v>318</v>
      </c>
      <c r="T134" s="5" t="s">
        <v>4592</v>
      </c>
      <c r="U134" s="168">
        <v>173</v>
      </c>
      <c r="V134" s="99">
        <f t="shared" si="36"/>
        <v>217.83212054794521</v>
      </c>
      <c r="W134" s="32">
        <f t="shared" si="37"/>
        <v>222.18876295890411</v>
      </c>
      <c r="X134" s="32">
        <f t="shared" si="38"/>
        <v>226.54540536986303</v>
      </c>
      <c r="Y134" t="s">
        <v>25</v>
      </c>
      <c r="AH134" s="89">
        <v>114</v>
      </c>
      <c r="AI134" s="90" t="s">
        <v>4653</v>
      </c>
      <c r="AJ134" s="90">
        <v>13301790</v>
      </c>
      <c r="AK134" s="89">
        <v>0</v>
      </c>
      <c r="AL134" s="89">
        <f t="shared" si="39"/>
        <v>299</v>
      </c>
      <c r="AM134" s="90">
        <f t="shared" si="35"/>
        <v>3977235210</v>
      </c>
      <c r="AN134" s="89" t="s">
        <v>4654</v>
      </c>
      <c r="AQ134" t="s">
        <v>25</v>
      </c>
    </row>
    <row r="135" spans="6:43">
      <c r="G135" s="1">
        <f>P47</f>
        <v>343.2</v>
      </c>
      <c r="H135" s="213" t="s">
        <v>4234</v>
      </c>
      <c r="I135" s="213">
        <v>46582</v>
      </c>
      <c r="J135" s="1">
        <f>G135*I135</f>
        <v>15986942.4</v>
      </c>
      <c r="L135">
        <v>821</v>
      </c>
      <c r="M135">
        <v>590</v>
      </c>
      <c r="N135">
        <v>0</v>
      </c>
      <c r="O135" s="96">
        <f>M135*N135</f>
        <v>0</v>
      </c>
      <c r="Q135" s="35">
        <v>1031662</v>
      </c>
      <c r="R135" s="5" t="s">
        <v>4225</v>
      </c>
      <c r="S135" s="5">
        <f>S134-1</f>
        <v>317</v>
      </c>
      <c r="T135" s="5" t="s">
        <v>4595</v>
      </c>
      <c r="U135" s="168">
        <v>171.2</v>
      </c>
      <c r="V135" s="99">
        <f t="shared" si="36"/>
        <v>215.43432767123289</v>
      </c>
      <c r="W135" s="32">
        <f t="shared" si="37"/>
        <v>219.74301422465754</v>
      </c>
      <c r="X135" s="32">
        <f t="shared" si="38"/>
        <v>224.05170077808222</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577500</v>
      </c>
      <c r="R136" s="5" t="s">
        <v>4225</v>
      </c>
      <c r="S136" s="5">
        <f>S135</f>
        <v>317</v>
      </c>
      <c r="T136" s="5" t="s">
        <v>4599</v>
      </c>
      <c r="U136" s="168">
        <v>175</v>
      </c>
      <c r="V136" s="99">
        <f t="shared" si="36"/>
        <v>220.21616438356168</v>
      </c>
      <c r="W136" s="32">
        <f t="shared" si="37"/>
        <v>224.62048767123292</v>
      </c>
      <c r="X136" s="32">
        <f t="shared" si="38"/>
        <v>229.02481095890414</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6191942.3999999985</v>
      </c>
      <c r="J137" s="1">
        <f>SUM(J135:J136)</f>
        <v>25986942.399999999</v>
      </c>
      <c r="O137">
        <f>O133+O134+O135</f>
        <v>834</v>
      </c>
      <c r="Q137" s="35">
        <v>12636487</v>
      </c>
      <c r="R137" s="5" t="s">
        <v>3688</v>
      </c>
      <c r="S137" s="5">
        <f>S136-2</f>
        <v>315</v>
      </c>
      <c r="T137" s="5" t="s">
        <v>4602</v>
      </c>
      <c r="U137" s="168">
        <v>172.1</v>
      </c>
      <c r="V137" s="99">
        <f t="shared" si="36"/>
        <v>216.30282410958904</v>
      </c>
      <c r="W137" s="32">
        <f t="shared" si="37"/>
        <v>220.62888059178081</v>
      </c>
      <c r="X137" s="32">
        <f t="shared" si="38"/>
        <v>224.95493707397262</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9">
        <v>11121445</v>
      </c>
      <c r="R138" s="5" t="s">
        <v>4605</v>
      </c>
      <c r="S138" s="5">
        <f>S137-3</f>
        <v>312</v>
      </c>
      <c r="T138" s="5" t="s">
        <v>4783</v>
      </c>
      <c r="U138" s="168">
        <v>171.8</v>
      </c>
      <c r="V138" s="99">
        <f t="shared" si="36"/>
        <v>215.5303956164384</v>
      </c>
      <c r="W138" s="32">
        <f t="shared" si="37"/>
        <v>219.84100352876717</v>
      </c>
      <c r="X138" s="32">
        <f t="shared" si="38"/>
        <v>224.15161144109595</v>
      </c>
      <c r="Y138" t="s">
        <v>25</v>
      </c>
      <c r="AH138" s="121">
        <v>118</v>
      </c>
      <c r="AI138" s="79" t="s">
        <v>4687</v>
      </c>
      <c r="AJ138" s="79">
        <v>8739459</v>
      </c>
      <c r="AK138" s="121">
        <v>2</v>
      </c>
      <c r="AL138" s="121">
        <f t="shared" si="39"/>
        <v>287</v>
      </c>
      <c r="AM138" s="79">
        <f t="shared" si="35"/>
        <v>2508224733</v>
      </c>
      <c r="AN138" s="121" t="s">
        <v>4640</v>
      </c>
    </row>
    <row r="139" spans="6:43">
      <c r="Q139" s="35">
        <v>40048573</v>
      </c>
      <c r="R139" s="5" t="s">
        <v>4615</v>
      </c>
      <c r="S139" s="5">
        <f>S138-3</f>
        <v>309</v>
      </c>
      <c r="T139" s="5" t="s">
        <v>4619</v>
      </c>
      <c r="U139" s="168">
        <v>498.9</v>
      </c>
      <c r="V139" s="99">
        <f t="shared" si="36"/>
        <v>624.74308273972611</v>
      </c>
      <c r="W139" s="32">
        <f t="shared" ref="W139:W161" si="41">V139*(1+$W$19/100)</f>
        <v>637.23794439452058</v>
      </c>
      <c r="X139" s="32">
        <f t="shared" ref="X139:X161" si="42">V139*(1+$X$19/100)</f>
        <v>649.73280604931517</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5325</v>
      </c>
      <c r="J140" s="1">
        <v>20000000</v>
      </c>
      <c r="Q140" s="35">
        <v>559461</v>
      </c>
      <c r="R140" s="5" t="s">
        <v>4653</v>
      </c>
      <c r="S140" s="5">
        <f>S139-7</f>
        <v>302</v>
      </c>
      <c r="T140" s="5" t="s">
        <v>4660</v>
      </c>
      <c r="U140" s="210">
        <v>508.1</v>
      </c>
      <c r="V140" s="99">
        <f t="shared" si="36"/>
        <v>633.53527342465759</v>
      </c>
      <c r="W140" s="32">
        <f t="shared" si="41"/>
        <v>646.2059788931507</v>
      </c>
      <c r="X140" s="32">
        <f t="shared" si="42"/>
        <v>658.87668436164392</v>
      </c>
      <c r="Z140" t="s">
        <v>25</v>
      </c>
      <c r="AH140" s="121">
        <v>120</v>
      </c>
      <c r="AI140" s="79" t="s">
        <v>4689</v>
      </c>
      <c r="AJ140" s="79">
        <v>13335309</v>
      </c>
      <c r="AK140" s="121">
        <v>13</v>
      </c>
      <c r="AL140" s="121">
        <f t="shared" si="39"/>
        <v>284</v>
      </c>
      <c r="AM140" s="79">
        <f t="shared" si="35"/>
        <v>3787227756</v>
      </c>
      <c r="AN140" s="121" t="s">
        <v>4654</v>
      </c>
    </row>
    <row r="141" spans="6:43">
      <c r="G141" s="99">
        <f>P47</f>
        <v>343.2</v>
      </c>
      <c r="H141" s="99" t="s">
        <v>4234</v>
      </c>
      <c r="I141" s="99">
        <v>39042</v>
      </c>
      <c r="J141" s="1">
        <f>G141*I141</f>
        <v>13399214.4</v>
      </c>
      <c r="Q141" s="35">
        <v>622942</v>
      </c>
      <c r="R141" s="5" t="s">
        <v>4666</v>
      </c>
      <c r="S141" s="5">
        <f>S140-1</f>
        <v>301</v>
      </c>
      <c r="T141" s="5" t="s">
        <v>4667</v>
      </c>
      <c r="U141" s="210">
        <v>503.3</v>
      </c>
      <c r="V141" s="99">
        <f t="shared" si="36"/>
        <v>627.16419835616443</v>
      </c>
      <c r="W141" s="32">
        <f t="shared" si="41"/>
        <v>639.70748232328776</v>
      </c>
      <c r="X141" s="32">
        <f t="shared" si="42"/>
        <v>652.25076629041098</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6835.1</v>
      </c>
      <c r="H142" s="99" t="s">
        <v>4384</v>
      </c>
      <c r="I142" s="99">
        <v>1150</v>
      </c>
      <c r="J142" s="1">
        <f>G142*I142</f>
        <v>7860365</v>
      </c>
      <c r="P142" s="114" t="s">
        <v>25</v>
      </c>
      <c r="Q142" s="35">
        <v>1472140</v>
      </c>
      <c r="R142" s="5" t="s">
        <v>4672</v>
      </c>
      <c r="S142" s="5">
        <f>S141-3</f>
        <v>298</v>
      </c>
      <c r="T142" s="5" t="s">
        <v>4674</v>
      </c>
      <c r="U142" s="168">
        <v>502</v>
      </c>
      <c r="V142" s="99">
        <f t="shared" si="36"/>
        <v>624.38897534246587</v>
      </c>
      <c r="W142" s="32">
        <f t="shared" si="41"/>
        <v>636.87675484931515</v>
      </c>
      <c r="X142" s="32">
        <f t="shared" si="42"/>
        <v>649.36453435616454</v>
      </c>
      <c r="Y142" t="s">
        <v>25</v>
      </c>
      <c r="AH142" s="20">
        <v>122</v>
      </c>
      <c r="AI142" s="117" t="s">
        <v>972</v>
      </c>
      <c r="AJ142" s="117">
        <v>30000</v>
      </c>
      <c r="AK142" s="20">
        <v>3</v>
      </c>
      <c r="AL142" s="20">
        <f t="shared" si="39"/>
        <v>260</v>
      </c>
      <c r="AM142" s="117">
        <f t="shared" si="35"/>
        <v>7800000</v>
      </c>
      <c r="AN142" s="20"/>
    </row>
    <row r="143" spans="6:43">
      <c r="G143" s="99"/>
      <c r="H143" s="99"/>
      <c r="I143" s="278">
        <f>J141+J142-J140</f>
        <v>1259579.3999999985</v>
      </c>
      <c r="J143" s="1"/>
      <c r="Q143" s="35">
        <v>2624850</v>
      </c>
      <c r="R143" s="5" t="s">
        <v>4676</v>
      </c>
      <c r="S143" s="5">
        <f>S142-1</f>
        <v>297</v>
      </c>
      <c r="T143" s="5" t="s">
        <v>5246</v>
      </c>
      <c r="U143" s="168">
        <v>481.7</v>
      </c>
      <c r="V143" s="99">
        <f t="shared" si="36"/>
        <v>598.77025643835623</v>
      </c>
      <c r="W143" s="32">
        <f t="shared" si="41"/>
        <v>610.74566156712331</v>
      </c>
      <c r="X143" s="32">
        <f t="shared" si="42"/>
        <v>622.7210666958905</v>
      </c>
      <c r="Y143" t="s">
        <v>25</v>
      </c>
      <c r="AH143" s="20">
        <v>123</v>
      </c>
      <c r="AI143" s="117" t="s">
        <v>4807</v>
      </c>
      <c r="AJ143" s="117">
        <v>600000</v>
      </c>
      <c r="AK143" s="20">
        <v>1</v>
      </c>
      <c r="AL143" s="20">
        <f t="shared" si="39"/>
        <v>257</v>
      </c>
      <c r="AM143" s="117">
        <f t="shared" si="35"/>
        <v>154200000</v>
      </c>
      <c r="AN143" s="20"/>
    </row>
    <row r="144" spans="6:43">
      <c r="F144" t="s">
        <v>4810</v>
      </c>
      <c r="Q144" s="169">
        <v>6150141</v>
      </c>
      <c r="R144" s="213" t="s">
        <v>4862</v>
      </c>
      <c r="S144" s="213">
        <f>S143-64</f>
        <v>233</v>
      </c>
      <c r="T144" s="213" t="s">
        <v>4868</v>
      </c>
      <c r="U144" s="213">
        <v>180.6</v>
      </c>
      <c r="V144" s="99">
        <f t="shared" si="36"/>
        <v>215.62551452054797</v>
      </c>
      <c r="W144" s="32">
        <f t="shared" si="41"/>
        <v>219.93802481095892</v>
      </c>
      <c r="X144" s="32">
        <f t="shared" si="42"/>
        <v>224.25053510136991</v>
      </c>
      <c r="Y144" t="s">
        <v>25</v>
      </c>
      <c r="AH144" s="20">
        <v>124</v>
      </c>
      <c r="AI144" s="117" t="s">
        <v>4814</v>
      </c>
      <c r="AJ144" s="117">
        <v>30000</v>
      </c>
      <c r="AK144" s="20">
        <v>3</v>
      </c>
      <c r="AL144" s="20">
        <f t="shared" si="39"/>
        <v>256</v>
      </c>
      <c r="AM144" s="117">
        <f t="shared" si="35"/>
        <v>7680000</v>
      </c>
      <c r="AN144" s="20"/>
    </row>
    <row r="145" spans="7:44">
      <c r="Q145" s="169">
        <v>1399908</v>
      </c>
      <c r="R145" s="213" t="s">
        <v>4931</v>
      </c>
      <c r="S145" s="213">
        <f>S144-20</f>
        <v>213</v>
      </c>
      <c r="T145" s="213" t="s">
        <v>4932</v>
      </c>
      <c r="U145" s="213">
        <v>194</v>
      </c>
      <c r="V145" s="99">
        <f t="shared" si="36"/>
        <v>228.6478684931507</v>
      </c>
      <c r="W145" s="32">
        <f t="shared" si="41"/>
        <v>233.22082586301372</v>
      </c>
      <c r="X145" s="32">
        <f t="shared" si="42"/>
        <v>237.79378323287673</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1204033</v>
      </c>
      <c r="R146" s="213" t="s">
        <v>4941</v>
      </c>
      <c r="S146" s="213">
        <f>S145-7</f>
        <v>206</v>
      </c>
      <c r="T146" s="213" t="s">
        <v>4944</v>
      </c>
      <c r="U146" s="213">
        <v>218.5</v>
      </c>
      <c r="V146" s="99">
        <f t="shared" si="36"/>
        <v>256.35018630136989</v>
      </c>
      <c r="W146" s="32">
        <f t="shared" si="41"/>
        <v>261.47719002739728</v>
      </c>
      <c r="X146" s="32">
        <f t="shared" si="42"/>
        <v>266.60419375342468</v>
      </c>
      <c r="AH146" s="23">
        <v>126</v>
      </c>
      <c r="AI146" s="35" t="s">
        <v>4825</v>
      </c>
      <c r="AJ146" s="35">
        <v>-31412200</v>
      </c>
      <c r="AK146" s="23">
        <v>1</v>
      </c>
      <c r="AL146" s="20">
        <f t="shared" si="39"/>
        <v>252</v>
      </c>
      <c r="AM146" s="35">
        <f t="shared" si="43"/>
        <v>-7915874400</v>
      </c>
      <c r="AN146" s="23" t="s">
        <v>4809</v>
      </c>
    </row>
    <row r="147" spans="7:44">
      <c r="G147">
        <v>1200</v>
      </c>
      <c r="H147" t="s">
        <v>4811</v>
      </c>
      <c r="Q147" s="169">
        <v>8382674</v>
      </c>
      <c r="R147" s="213" t="s">
        <v>4951</v>
      </c>
      <c r="S147" s="213">
        <f>S146-7</f>
        <v>199</v>
      </c>
      <c r="T147" s="213" t="s">
        <v>4957</v>
      </c>
      <c r="U147" s="213">
        <v>192</v>
      </c>
      <c r="V147" s="99">
        <f t="shared" si="36"/>
        <v>224.22864657534251</v>
      </c>
      <c r="W147" s="32">
        <f t="shared" si="41"/>
        <v>228.71321950684936</v>
      </c>
      <c r="X147" s="32">
        <f t="shared" si="42"/>
        <v>233.19779243835623</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190884649</v>
      </c>
      <c r="R148" s="213" t="s">
        <v>4970</v>
      </c>
      <c r="S148" s="213">
        <f>S147-9</f>
        <v>190</v>
      </c>
      <c r="T148" s="213" t="s">
        <v>4973</v>
      </c>
      <c r="U148" s="213">
        <v>193.6</v>
      </c>
      <c r="V148" s="99">
        <f t="shared" si="36"/>
        <v>224.76058301369864</v>
      </c>
      <c r="W148" s="32">
        <f t="shared" si="41"/>
        <v>229.25579467397262</v>
      </c>
      <c r="X148" s="32">
        <f t="shared" si="42"/>
        <v>233.7510063342466</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2099962</v>
      </c>
      <c r="R149" s="213" t="s">
        <v>4972</v>
      </c>
      <c r="S149" s="213">
        <f>S148-1</f>
        <v>189</v>
      </c>
      <c r="T149" s="213" t="s">
        <v>4976</v>
      </c>
      <c r="U149" s="213">
        <v>196.5</v>
      </c>
      <c r="V149" s="99">
        <f t="shared" si="36"/>
        <v>227.97660821917813</v>
      </c>
      <c r="W149" s="32">
        <f t="shared" si="41"/>
        <v>232.5361403835617</v>
      </c>
      <c r="X149" s="32">
        <f t="shared" si="42"/>
        <v>237.09567254794527</v>
      </c>
      <c r="Z149" s="96"/>
      <c r="AH149" s="99">
        <v>129</v>
      </c>
      <c r="AI149" s="113" t="s">
        <v>4861</v>
      </c>
      <c r="AJ149" s="113">
        <v>1000000</v>
      </c>
      <c r="AK149" s="99">
        <v>1</v>
      </c>
      <c r="AL149" s="20">
        <f t="shared" si="39"/>
        <v>232</v>
      </c>
      <c r="AM149" s="117">
        <f t="shared" si="44"/>
        <v>232000000</v>
      </c>
      <c r="AN149" s="20"/>
    </row>
    <row r="150" spans="7:44">
      <c r="Q150" s="169">
        <v>130756</v>
      </c>
      <c r="R150" s="213" t="s">
        <v>4977</v>
      </c>
      <c r="S150" s="213">
        <f>S149-1</f>
        <v>188</v>
      </c>
      <c r="T150" s="213" t="s">
        <v>4978</v>
      </c>
      <c r="U150" s="213">
        <v>197.8</v>
      </c>
      <c r="V150" s="99">
        <f t="shared" si="36"/>
        <v>229.33311342465757</v>
      </c>
      <c r="W150" s="32">
        <f t="shared" si="41"/>
        <v>233.91977569315071</v>
      </c>
      <c r="X150" s="32">
        <f t="shared" si="42"/>
        <v>238.50643796164388</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795874</v>
      </c>
      <c r="R151" s="213" t="s">
        <v>4989</v>
      </c>
      <c r="S151" s="213">
        <f>S150-6</f>
        <v>182</v>
      </c>
      <c r="T151" s="213" t="s">
        <v>4990</v>
      </c>
      <c r="U151" s="213">
        <v>198.1</v>
      </c>
      <c r="V151" s="99">
        <f t="shared" si="36"/>
        <v>228.76913643835618</v>
      </c>
      <c r="W151" s="32">
        <f t="shared" si="41"/>
        <v>233.34451916712331</v>
      </c>
      <c r="X151" s="32">
        <f t="shared" si="42"/>
        <v>237.91990189589043</v>
      </c>
      <c r="Z151" s="96"/>
      <c r="AA151" s="114"/>
      <c r="AC151" s="114"/>
      <c r="AH151" s="99">
        <v>131</v>
      </c>
      <c r="AI151" s="113" t="s">
        <v>4862</v>
      </c>
      <c r="AJ151" s="113">
        <v>-3500000</v>
      </c>
      <c r="AK151" s="99">
        <v>6</v>
      </c>
      <c r="AL151" s="20">
        <f t="shared" si="39"/>
        <v>231</v>
      </c>
      <c r="AM151" s="117">
        <f t="shared" si="45"/>
        <v>-808500000</v>
      </c>
      <c r="AN151" s="20" t="s">
        <v>4864</v>
      </c>
    </row>
    <row r="152" spans="7:44">
      <c r="Q152" s="169">
        <v>400348</v>
      </c>
      <c r="R152" s="213" t="s">
        <v>4992</v>
      </c>
      <c r="S152" s="213">
        <f>S151-1</f>
        <v>181</v>
      </c>
      <c r="T152" s="213" t="s">
        <v>4994</v>
      </c>
      <c r="U152" s="213">
        <v>199.3</v>
      </c>
      <c r="V152" s="99">
        <f t="shared" si="36"/>
        <v>230.0020284931507</v>
      </c>
      <c r="W152" s="32">
        <f t="shared" si="41"/>
        <v>234.60206906301372</v>
      </c>
      <c r="X152" s="32">
        <f t="shared" si="42"/>
        <v>239.20210963287673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5896463</v>
      </c>
      <c r="R153" s="213" t="s">
        <v>5003</v>
      </c>
      <c r="S153" s="213">
        <f>S152-4</f>
        <v>177</v>
      </c>
      <c r="T153" s="213" t="s">
        <v>5004</v>
      </c>
      <c r="U153" s="213">
        <v>197.4</v>
      </c>
      <c r="V153" s="99">
        <f t="shared" si="36"/>
        <v>227.20361424657537</v>
      </c>
      <c r="W153" s="32">
        <f t="shared" si="41"/>
        <v>231.74768653150687</v>
      </c>
      <c r="X153" s="32">
        <f t="shared" si="42"/>
        <v>236.2917588164384</v>
      </c>
      <c r="Y153" s="96" t="s">
        <v>25</v>
      </c>
      <c r="Z153" s="96"/>
      <c r="AH153" s="99">
        <v>133</v>
      </c>
      <c r="AI153" s="113" t="s">
        <v>4910</v>
      </c>
      <c r="AJ153" s="113">
        <v>1400000</v>
      </c>
      <c r="AK153" s="99">
        <v>4</v>
      </c>
      <c r="AL153" s="20">
        <f t="shared" si="39"/>
        <v>213</v>
      </c>
      <c r="AM153" s="117">
        <f t="shared" si="45"/>
        <v>298200000</v>
      </c>
      <c r="AN153" s="20"/>
    </row>
    <row r="154" spans="7:44">
      <c r="Q154" s="169">
        <v>1499873</v>
      </c>
      <c r="R154" s="213" t="s">
        <v>5016</v>
      </c>
      <c r="S154" s="213">
        <f>S153-8</f>
        <v>169</v>
      </c>
      <c r="T154" s="213" t="s">
        <v>5018</v>
      </c>
      <c r="U154" s="213">
        <v>200.1</v>
      </c>
      <c r="V154" s="99">
        <f t="shared" ref="V154:V183" si="46">U154*(1+$R$118+$Q$15*S154/36500)</f>
        <v>229.08325150684934</v>
      </c>
      <c r="W154" s="32">
        <f t="shared" si="41"/>
        <v>233.66491653698634</v>
      </c>
      <c r="X154" s="32">
        <f t="shared" si="42"/>
        <v>238.24658156712331</v>
      </c>
      <c r="Y154" s="122" t="s">
        <v>25</v>
      </c>
      <c r="Z154" s="96"/>
      <c r="AH154" s="99">
        <v>134</v>
      </c>
      <c r="AI154" s="113" t="s">
        <v>4935</v>
      </c>
      <c r="AJ154" s="113">
        <v>1550000</v>
      </c>
      <c r="AK154" s="99">
        <v>2</v>
      </c>
      <c r="AL154" s="20">
        <f t="shared" si="39"/>
        <v>209</v>
      </c>
      <c r="AM154" s="117">
        <f t="shared" si="45"/>
        <v>323950000</v>
      </c>
      <c r="AN154" s="20"/>
    </row>
    <row r="155" spans="7:44">
      <c r="P155" s="114"/>
      <c r="Q155" s="169">
        <v>25141103</v>
      </c>
      <c r="R155" s="213" t="s">
        <v>5040</v>
      </c>
      <c r="S155" s="213">
        <f>S154-7</f>
        <v>162</v>
      </c>
      <c r="T155" s="213" t="s">
        <v>5043</v>
      </c>
      <c r="U155" s="213">
        <v>211.3</v>
      </c>
      <c r="V155" s="99">
        <f t="shared" si="46"/>
        <v>240.77085041095896</v>
      </c>
      <c r="W155" s="32">
        <f t="shared" si="41"/>
        <v>245.58626741917814</v>
      </c>
      <c r="X155" s="32">
        <f t="shared" si="42"/>
        <v>250.40168442739733</v>
      </c>
      <c r="Y155" s="96"/>
      <c r="Z155" s="96"/>
      <c r="AH155" s="99">
        <v>135</v>
      </c>
      <c r="AI155" s="113" t="s">
        <v>4882</v>
      </c>
      <c r="AJ155" s="113">
        <v>250000</v>
      </c>
      <c r="AK155" s="99">
        <v>6</v>
      </c>
      <c r="AL155" s="20">
        <f t="shared" si="39"/>
        <v>207</v>
      </c>
      <c r="AM155" s="117">
        <f t="shared" si="45"/>
        <v>51750000</v>
      </c>
      <c r="AN155" s="20"/>
    </row>
    <row r="156" spans="7:44">
      <c r="P156" s="114"/>
      <c r="Q156" s="169">
        <v>120581</v>
      </c>
      <c r="R156" s="213" t="s">
        <v>5044</v>
      </c>
      <c r="S156" s="213">
        <f>S155-1</f>
        <v>161</v>
      </c>
      <c r="T156" s="213" t="s">
        <v>5045</v>
      </c>
      <c r="U156" s="213">
        <v>210.2</v>
      </c>
      <c r="V156" s="99">
        <f t="shared" si="46"/>
        <v>239.35617972602739</v>
      </c>
      <c r="W156" s="32">
        <f t="shared" si="41"/>
        <v>244.14330332054794</v>
      </c>
      <c r="X156" s="32">
        <f t="shared" si="42"/>
        <v>248.93042691506849</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500951</v>
      </c>
      <c r="R157" s="213" t="s">
        <v>5044</v>
      </c>
      <c r="S157" s="213">
        <f>S156</f>
        <v>161</v>
      </c>
      <c r="T157" s="213" t="s">
        <v>5049</v>
      </c>
      <c r="U157" s="213">
        <v>209.6</v>
      </c>
      <c r="V157" s="99">
        <f t="shared" si="46"/>
        <v>238.67295561643834</v>
      </c>
      <c r="W157" s="32">
        <f t="shared" si="41"/>
        <v>243.44641472876711</v>
      </c>
      <c r="X157" s="32">
        <f t="shared" si="42"/>
        <v>248.21987384109588</v>
      </c>
      <c r="Y157" s="96"/>
      <c r="Z157" s="96"/>
      <c r="AH157" s="99">
        <v>137</v>
      </c>
      <c r="AI157" s="113" t="s">
        <v>4972</v>
      </c>
      <c r="AJ157" s="113">
        <v>2100000</v>
      </c>
      <c r="AK157" s="99">
        <v>1</v>
      </c>
      <c r="AL157" s="20">
        <f t="shared" si="39"/>
        <v>187</v>
      </c>
      <c r="AM157" s="117">
        <f t="shared" si="45"/>
        <v>392700000</v>
      </c>
      <c r="AN157" s="20"/>
    </row>
    <row r="158" spans="7:44">
      <c r="Q158" s="169">
        <v>493081</v>
      </c>
      <c r="R158" s="213" t="s">
        <v>5052</v>
      </c>
      <c r="S158" s="213">
        <f>S157-1</f>
        <v>160</v>
      </c>
      <c r="T158" s="213" t="s">
        <v>5054</v>
      </c>
      <c r="U158" s="213">
        <v>205.1</v>
      </c>
      <c r="V158" s="99">
        <f t="shared" si="46"/>
        <v>233.39143780821919</v>
      </c>
      <c r="W158" s="32">
        <f t="shared" si="41"/>
        <v>238.05926656438359</v>
      </c>
      <c r="X158" s="32">
        <f t="shared" si="42"/>
        <v>242.72709532054796</v>
      </c>
      <c r="Y158" s="96"/>
      <c r="Z158" s="96"/>
      <c r="AH158" s="99">
        <v>138</v>
      </c>
      <c r="AI158" s="113" t="s">
        <v>4977</v>
      </c>
      <c r="AJ158" s="113">
        <v>100000</v>
      </c>
      <c r="AK158" s="99">
        <v>4</v>
      </c>
      <c r="AL158" s="20">
        <f>AL159+AK158</f>
        <v>186</v>
      </c>
      <c r="AM158" s="117">
        <f t="shared" si="45"/>
        <v>18600000</v>
      </c>
      <c r="AN158" s="20"/>
      <c r="AQ158" t="s">
        <v>25</v>
      </c>
    </row>
    <row r="159" spans="7:44">
      <c r="Q159" s="169">
        <v>43287917</v>
      </c>
      <c r="R159" s="213" t="s">
        <v>5056</v>
      </c>
      <c r="S159" s="213">
        <f>S158-3</f>
        <v>157</v>
      </c>
      <c r="T159" s="213" t="s">
        <v>5079</v>
      </c>
      <c r="U159" s="213">
        <v>203.6</v>
      </c>
      <c r="V159" s="99">
        <f t="shared" si="46"/>
        <v>231.21596931506852</v>
      </c>
      <c r="W159" s="32">
        <f t="shared" si="41"/>
        <v>235.8402887013699</v>
      </c>
      <c r="X159" s="32">
        <f t="shared" si="42"/>
        <v>240.46460808767128</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3195995</v>
      </c>
      <c r="R160" s="213" t="s">
        <v>5083</v>
      </c>
      <c r="S160" s="213">
        <f>S159-11</f>
        <v>146</v>
      </c>
      <c r="T160" s="213" t="s">
        <v>5084</v>
      </c>
      <c r="U160" s="213">
        <v>228</v>
      </c>
      <c r="V160" s="99">
        <f t="shared" si="46"/>
        <v>257.00160000000005</v>
      </c>
      <c r="W160" s="32">
        <f t="shared" si="41"/>
        <v>262.14163200000007</v>
      </c>
      <c r="X160" s="32">
        <f t="shared" si="42"/>
        <v>267.28166400000009</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5897690</v>
      </c>
      <c r="R161" s="213" t="s">
        <v>5093</v>
      </c>
      <c r="S161" s="213">
        <f>S160-10</f>
        <v>136</v>
      </c>
      <c r="T161" s="213" t="s">
        <v>5096</v>
      </c>
      <c r="U161" s="213">
        <v>236</v>
      </c>
      <c r="V161" s="99">
        <f t="shared" si="46"/>
        <v>264.20878904109594</v>
      </c>
      <c r="W161" s="32">
        <f t="shared" si="41"/>
        <v>269.49296482191784</v>
      </c>
      <c r="X161" s="32">
        <f t="shared" si="42"/>
        <v>274.77714060273979</v>
      </c>
      <c r="Y161" s="96"/>
      <c r="AH161" s="99">
        <v>141</v>
      </c>
      <c r="AI161" s="113" t="s">
        <v>4983</v>
      </c>
      <c r="AJ161" s="113">
        <v>115000</v>
      </c>
      <c r="AK161" s="99"/>
      <c r="AL161" s="20">
        <f t="shared" si="47"/>
        <v>182</v>
      </c>
      <c r="AM161" s="117">
        <f t="shared" si="48"/>
        <v>20930000</v>
      </c>
      <c r="AN161" s="20"/>
      <c r="AQ161" t="s">
        <v>25</v>
      </c>
    </row>
    <row r="162" spans="15:43">
      <c r="Q162" s="169">
        <v>1203628</v>
      </c>
      <c r="R162" s="213" t="s">
        <v>5100</v>
      </c>
      <c r="S162" s="213">
        <f>S161-2</f>
        <v>134</v>
      </c>
      <c r="T162" s="213" t="s">
        <v>5101</v>
      </c>
      <c r="U162" s="213">
        <v>235.1</v>
      </c>
      <c r="V162" s="99">
        <f t="shared" si="46"/>
        <v>262.84051178082194</v>
      </c>
      <c r="W162" s="32">
        <f t="shared" ref="W162:W178" si="49">V162*(1+$W$19/100)</f>
        <v>268.0973220164384</v>
      </c>
      <c r="X162" s="32">
        <f t="shared" ref="X162:X178" si="50">V162*(1+$X$19/100)</f>
        <v>273.35413225205485</v>
      </c>
      <c r="Y162" s="96"/>
      <c r="AH162" s="99">
        <v>142</v>
      </c>
      <c r="AI162" s="113" t="s">
        <v>4992</v>
      </c>
      <c r="AJ162" s="113">
        <v>-1100000</v>
      </c>
      <c r="AK162" s="99"/>
      <c r="AL162" s="20">
        <f t="shared" si="47"/>
        <v>182</v>
      </c>
      <c r="AM162" s="117">
        <f t="shared" si="48"/>
        <v>-200200000</v>
      </c>
      <c r="AN162" s="20" t="s">
        <v>5002</v>
      </c>
      <c r="AQ162" t="s">
        <v>25</v>
      </c>
    </row>
    <row r="163" spans="15:43">
      <c r="P163" s="114"/>
      <c r="Q163" s="169">
        <v>2598983</v>
      </c>
      <c r="R163" s="213" t="s">
        <v>5098</v>
      </c>
      <c r="S163" s="213">
        <f>S162-2</f>
        <v>132</v>
      </c>
      <c r="T163" s="213" t="s">
        <v>5107</v>
      </c>
      <c r="U163" s="213">
        <v>233.2</v>
      </c>
      <c r="V163" s="99">
        <f t="shared" si="46"/>
        <v>260.35853589041096</v>
      </c>
      <c r="W163" s="32">
        <f t="shared" si="49"/>
        <v>265.56570660821916</v>
      </c>
      <c r="X163" s="32">
        <f t="shared" si="50"/>
        <v>270.77287732602741</v>
      </c>
      <c r="Y163" s="122" t="s">
        <v>25</v>
      </c>
      <c r="AH163" s="99">
        <v>143</v>
      </c>
      <c r="AI163" s="113" t="s">
        <v>4992</v>
      </c>
      <c r="AJ163" s="113">
        <v>900000</v>
      </c>
      <c r="AK163" s="99">
        <v>1</v>
      </c>
      <c r="AL163" s="20">
        <f t="shared" si="47"/>
        <v>182</v>
      </c>
      <c r="AM163" s="117">
        <f t="shared" si="48"/>
        <v>163800000</v>
      </c>
      <c r="AN163" s="20" t="s">
        <v>5001</v>
      </c>
    </row>
    <row r="164" spans="15:43">
      <c r="O164" s="96"/>
      <c r="Q164" s="169">
        <v>8061801</v>
      </c>
      <c r="R164" s="213" t="s">
        <v>5099</v>
      </c>
      <c r="S164" s="213">
        <f>S163-6</f>
        <v>126</v>
      </c>
      <c r="T164" s="213" t="s">
        <v>5110</v>
      </c>
      <c r="U164" s="213">
        <v>240.4</v>
      </c>
      <c r="V164" s="99">
        <f t="shared" si="46"/>
        <v>267.29055123287674</v>
      </c>
      <c r="W164" s="32">
        <f t="shared" si="49"/>
        <v>272.6363622575343</v>
      </c>
      <c r="X164" s="32">
        <f t="shared" si="50"/>
        <v>277.98217328219181</v>
      </c>
      <c r="Y164" s="96"/>
      <c r="AH164" s="99">
        <v>144</v>
      </c>
      <c r="AI164" s="113" t="s">
        <v>4999</v>
      </c>
      <c r="AJ164" s="113">
        <v>2000000</v>
      </c>
      <c r="AK164" s="99">
        <v>0</v>
      </c>
      <c r="AL164" s="20">
        <f t="shared" si="47"/>
        <v>181</v>
      </c>
      <c r="AM164" s="117">
        <f t="shared" si="48"/>
        <v>362000000</v>
      </c>
      <c r="AN164" s="20"/>
    </row>
    <row r="165" spans="15:43">
      <c r="O165" s="96"/>
      <c r="Q165" s="169">
        <v>45807179</v>
      </c>
      <c r="R165" s="213" t="s">
        <v>5115</v>
      </c>
      <c r="S165" s="213">
        <f>S164-1</f>
        <v>125</v>
      </c>
      <c r="T165" s="213" t="s">
        <v>5370</v>
      </c>
      <c r="U165" s="213">
        <v>241.4</v>
      </c>
      <c r="V165" s="99">
        <f t="shared" si="46"/>
        <v>268.21722520547945</v>
      </c>
      <c r="W165" s="32">
        <f t="shared" si="49"/>
        <v>273.58156970958902</v>
      </c>
      <c r="X165" s="32">
        <f t="shared" si="50"/>
        <v>278.94591421369864</v>
      </c>
      <c r="Y165" s="96"/>
      <c r="AH165" s="99">
        <v>145</v>
      </c>
      <c r="AI165" s="113" t="s">
        <v>4999</v>
      </c>
      <c r="AJ165" s="113">
        <v>360000</v>
      </c>
      <c r="AK165" s="99">
        <v>1</v>
      </c>
      <c r="AL165" s="20">
        <f t="shared" si="47"/>
        <v>181</v>
      </c>
      <c r="AM165" s="117">
        <f t="shared" si="48"/>
        <v>65160000</v>
      </c>
      <c r="AN165" s="20"/>
    </row>
    <row r="166" spans="15:43">
      <c r="Q166" s="169">
        <v>6188</v>
      </c>
      <c r="R166" s="213" t="s">
        <v>5171</v>
      </c>
      <c r="S166" s="213">
        <f>S165-33</f>
        <v>92</v>
      </c>
      <c r="T166" s="213" t="s">
        <v>5230</v>
      </c>
      <c r="U166" s="213">
        <v>6160</v>
      </c>
      <c r="V166" s="99">
        <f t="shared" si="46"/>
        <v>6688.3761095890413</v>
      </c>
      <c r="W166" s="32">
        <f t="shared" si="49"/>
        <v>6822.143631780822</v>
      </c>
      <c r="X166" s="32">
        <f t="shared" si="50"/>
        <v>6955.9111539726036</v>
      </c>
      <c r="Y166" t="s">
        <v>25</v>
      </c>
      <c r="AH166" s="99">
        <v>146</v>
      </c>
      <c r="AI166" s="113" t="s">
        <v>5000</v>
      </c>
      <c r="AJ166" s="113">
        <v>3000000</v>
      </c>
      <c r="AK166" s="99">
        <v>1</v>
      </c>
      <c r="AL166" s="20">
        <f t="shared" si="47"/>
        <v>180</v>
      </c>
      <c r="AM166" s="117">
        <f t="shared" si="48"/>
        <v>540000000</v>
      </c>
      <c r="AN166" s="20"/>
    </row>
    <row r="167" spans="15:43">
      <c r="Q167" s="169">
        <v>298455</v>
      </c>
      <c r="R167" s="213" t="s">
        <v>5245</v>
      </c>
      <c r="S167" s="213">
        <f>S166-30</f>
        <v>62</v>
      </c>
      <c r="T167" s="213" t="s">
        <v>5247</v>
      </c>
      <c r="U167" s="213">
        <v>199</v>
      </c>
      <c r="V167" s="99">
        <f t="shared" si="46"/>
        <v>211.48956712328769</v>
      </c>
      <c r="W167" s="32">
        <f t="shared" si="49"/>
        <v>215.71935846575343</v>
      </c>
      <c r="X167" s="32">
        <f t="shared" si="50"/>
        <v>219.9491498082192</v>
      </c>
      <c r="AH167" s="99">
        <v>147</v>
      </c>
      <c r="AI167" s="113" t="s">
        <v>4997</v>
      </c>
      <c r="AJ167" s="113">
        <v>-658226</v>
      </c>
      <c r="AK167" s="99">
        <v>1</v>
      </c>
      <c r="AL167" s="20">
        <f t="shared" si="47"/>
        <v>179</v>
      </c>
      <c r="AM167" s="117">
        <f t="shared" si="48"/>
        <v>-117822454</v>
      </c>
      <c r="AN167" s="20"/>
    </row>
    <row r="168" spans="15:43">
      <c r="Q168" s="169">
        <v>6702018</v>
      </c>
      <c r="R168" s="213" t="s">
        <v>5273</v>
      </c>
      <c r="S168" s="213">
        <f>S167-3</f>
        <v>59</v>
      </c>
      <c r="T168" s="213" t="s">
        <v>5277</v>
      </c>
      <c r="U168" s="213">
        <v>7413</v>
      </c>
      <c r="V168" s="99">
        <f t="shared" si="46"/>
        <v>7861.1920109589046</v>
      </c>
      <c r="W168" s="32">
        <f t="shared" si="49"/>
        <v>8018.4158511780824</v>
      </c>
      <c r="X168" s="32">
        <f t="shared" si="50"/>
        <v>8175.6396913972612</v>
      </c>
      <c r="Y168" t="s">
        <v>25</v>
      </c>
      <c r="AH168" s="99">
        <v>148</v>
      </c>
      <c r="AI168" s="113" t="s">
        <v>5003</v>
      </c>
      <c r="AJ168" s="113">
        <v>1000000</v>
      </c>
      <c r="AK168" s="99">
        <v>15</v>
      </c>
      <c r="AL168" s="20">
        <f t="shared" si="47"/>
        <v>178</v>
      </c>
      <c r="AM168" s="117">
        <f t="shared" si="48"/>
        <v>178000000</v>
      </c>
      <c r="AN168" s="20"/>
      <c r="AP168" t="s">
        <v>25</v>
      </c>
    </row>
    <row r="169" spans="15:43">
      <c r="Q169" s="169">
        <v>1068775</v>
      </c>
      <c r="R169" s="213" t="s">
        <v>5278</v>
      </c>
      <c r="S169" s="213">
        <f>S168-1</f>
        <v>58</v>
      </c>
      <c r="T169" s="213" t="s">
        <v>5281</v>
      </c>
      <c r="U169" s="213">
        <v>7046</v>
      </c>
      <c r="V169" s="99">
        <f t="shared" si="46"/>
        <v>7466.597939726028</v>
      </c>
      <c r="W169" s="32">
        <f t="shared" si="49"/>
        <v>7615.9298985205487</v>
      </c>
      <c r="X169" s="32">
        <f t="shared" si="50"/>
        <v>7765.2618573150694</v>
      </c>
      <c r="AH169" s="99">
        <v>149</v>
      </c>
      <c r="AI169" s="113" t="s">
        <v>5040</v>
      </c>
      <c r="AJ169" s="113">
        <v>1130250</v>
      </c>
      <c r="AK169" s="99">
        <v>5</v>
      </c>
      <c r="AL169" s="20">
        <f t="shared" si="39"/>
        <v>163</v>
      </c>
      <c r="AM169" s="117">
        <f t="shared" si="45"/>
        <v>184230750</v>
      </c>
      <c r="AN169" s="20"/>
    </row>
    <row r="170" spans="15:43">
      <c r="Q170" s="169">
        <v>1633018</v>
      </c>
      <c r="R170" s="213" t="s">
        <v>5284</v>
      </c>
      <c r="S170" s="213">
        <f>S169-1</f>
        <v>57</v>
      </c>
      <c r="T170" s="213" t="s">
        <v>5288</v>
      </c>
      <c r="U170" s="213">
        <v>812.7</v>
      </c>
      <c r="V170" s="99">
        <f t="shared" si="46"/>
        <v>860.58918246575342</v>
      </c>
      <c r="W170" s="32">
        <f t="shared" si="49"/>
        <v>877.80096611506849</v>
      </c>
      <c r="X170" s="32">
        <f t="shared" si="50"/>
        <v>895.01274976438356</v>
      </c>
      <c r="Y170" t="s">
        <v>25</v>
      </c>
      <c r="AE170" s="96" t="s">
        <v>25</v>
      </c>
      <c r="AH170" s="99">
        <v>150</v>
      </c>
      <c r="AI170" s="113" t="s">
        <v>5056</v>
      </c>
      <c r="AJ170" s="113">
        <v>206000</v>
      </c>
      <c r="AK170" s="99">
        <v>2</v>
      </c>
      <c r="AL170" s="20">
        <f t="shared" si="39"/>
        <v>158</v>
      </c>
      <c r="AM170" s="117">
        <f t="shared" si="45"/>
        <v>32548000</v>
      </c>
      <c r="AN170" s="20"/>
    </row>
    <row r="171" spans="15:43">
      <c r="Q171" s="169">
        <v>12307678</v>
      </c>
      <c r="R171" s="213" t="s">
        <v>5289</v>
      </c>
      <c r="S171" s="213">
        <f>S170-1</f>
        <v>56</v>
      </c>
      <c r="T171" s="213" t="s">
        <v>5293</v>
      </c>
      <c r="U171" s="213">
        <v>7115</v>
      </c>
      <c r="V171" s="99">
        <f t="shared" si="46"/>
        <v>7528.8006027397269</v>
      </c>
      <c r="W171" s="32">
        <f t="shared" si="49"/>
        <v>7679.3766147945216</v>
      </c>
      <c r="X171" s="32">
        <f t="shared" si="50"/>
        <v>7829.9526268493164</v>
      </c>
      <c r="AH171" s="99">
        <v>151</v>
      </c>
      <c r="AI171" s="113" t="s">
        <v>5063</v>
      </c>
      <c r="AJ171" s="113">
        <v>50000</v>
      </c>
      <c r="AK171" s="99">
        <v>2</v>
      </c>
      <c r="AL171" s="20">
        <f t="shared" si="39"/>
        <v>156</v>
      </c>
      <c r="AM171" s="117">
        <f t="shared" si="45"/>
        <v>7800000</v>
      </c>
      <c r="AN171" s="20"/>
    </row>
    <row r="172" spans="15:43">
      <c r="Q172" s="169">
        <v>453499</v>
      </c>
      <c r="R172" s="213" t="s">
        <v>5298</v>
      </c>
      <c r="S172" s="213">
        <f>S171-1</f>
        <v>55</v>
      </c>
      <c r="T172" s="213" t="s">
        <v>5299</v>
      </c>
      <c r="U172" s="213">
        <v>6945.4</v>
      </c>
      <c r="V172" s="99">
        <f t="shared" si="46"/>
        <v>7344.0088745205485</v>
      </c>
      <c r="W172" s="32">
        <f t="shared" si="49"/>
        <v>7490.8890520109599</v>
      </c>
      <c r="X172" s="32">
        <f t="shared" si="50"/>
        <v>7637.7692295013703</v>
      </c>
      <c r="Y172" t="s">
        <v>25</v>
      </c>
      <c r="AH172" s="99">
        <v>152</v>
      </c>
      <c r="AI172" s="113" t="s">
        <v>5070</v>
      </c>
      <c r="AJ172" s="113">
        <v>105000</v>
      </c>
      <c r="AK172" s="99">
        <v>4</v>
      </c>
      <c r="AL172" s="20">
        <f t="shared" si="39"/>
        <v>154</v>
      </c>
      <c r="AM172" s="117">
        <f t="shared" si="45"/>
        <v>16170000</v>
      </c>
      <c r="AN172" s="20"/>
    </row>
    <row r="173" spans="15:43">
      <c r="Q173" s="169">
        <v>121792</v>
      </c>
      <c r="R173" s="213" t="s">
        <v>5298</v>
      </c>
      <c r="S173" s="213">
        <f>S172</f>
        <v>55</v>
      </c>
      <c r="T173" s="213" t="s">
        <v>5300</v>
      </c>
      <c r="U173" s="213">
        <v>808.2</v>
      </c>
      <c r="V173" s="99">
        <f t="shared" si="46"/>
        <v>854.58403726027416</v>
      </c>
      <c r="W173" s="32">
        <f t="shared" si="49"/>
        <v>871.67571800547967</v>
      </c>
      <c r="X173" s="32">
        <f t="shared" si="50"/>
        <v>888.76739875068517</v>
      </c>
      <c r="Y173" t="s">
        <v>25</v>
      </c>
      <c r="AH173" s="99">
        <v>153</v>
      </c>
      <c r="AI173" s="113" t="s">
        <v>5075</v>
      </c>
      <c r="AJ173" s="113">
        <v>5000000</v>
      </c>
      <c r="AK173" s="99">
        <v>1</v>
      </c>
      <c r="AL173" s="20">
        <f t="shared" si="39"/>
        <v>150</v>
      </c>
      <c r="AM173" s="117">
        <f t="shared" si="45"/>
        <v>750000000</v>
      </c>
      <c r="AN173" s="20"/>
    </row>
    <row r="174" spans="15:43">
      <c r="Q174" s="169">
        <v>5649</v>
      </c>
      <c r="R174" s="213" t="s">
        <v>5304</v>
      </c>
      <c r="S174" s="213">
        <f>S173-4</f>
        <v>51</v>
      </c>
      <c r="T174" s="213" t="s">
        <v>5305</v>
      </c>
      <c r="U174" s="213">
        <v>803</v>
      </c>
      <c r="V174" s="99">
        <f t="shared" si="46"/>
        <v>846.62160000000006</v>
      </c>
      <c r="W174" s="32">
        <f t="shared" si="49"/>
        <v>863.55403200000012</v>
      </c>
      <c r="X174" s="32">
        <f t="shared" si="50"/>
        <v>880.48646400000007</v>
      </c>
      <c r="Y174" t="s">
        <v>25</v>
      </c>
      <c r="Z174" t="s">
        <v>25</v>
      </c>
      <c r="AH174" s="99">
        <v>154</v>
      </c>
      <c r="AI174" s="113" t="s">
        <v>5076</v>
      </c>
      <c r="AJ174" s="113">
        <v>2500000</v>
      </c>
      <c r="AK174" s="99">
        <v>2</v>
      </c>
      <c r="AL174" s="20">
        <f t="shared" si="39"/>
        <v>149</v>
      </c>
      <c r="AM174" s="117">
        <f t="shared" si="45"/>
        <v>372500000</v>
      </c>
      <c r="AN174" s="20"/>
    </row>
    <row r="175" spans="15:43">
      <c r="Q175" s="169">
        <v>1361093</v>
      </c>
      <c r="R175" s="213" t="s">
        <v>990</v>
      </c>
      <c r="S175" s="213">
        <f>S174-8</f>
        <v>43</v>
      </c>
      <c r="T175" s="213" t="s">
        <v>5327</v>
      </c>
      <c r="U175" s="213">
        <v>6948.4</v>
      </c>
      <c r="V175" s="99">
        <f t="shared" si="46"/>
        <v>7283.2176964383561</v>
      </c>
      <c r="W175" s="32">
        <f t="shared" si="49"/>
        <v>7428.8820503671232</v>
      </c>
      <c r="X175" s="32">
        <f t="shared" si="50"/>
        <v>7574.5464042958911</v>
      </c>
      <c r="AH175" s="269">
        <v>155</v>
      </c>
      <c r="AI175" s="265" t="s">
        <v>5083</v>
      </c>
      <c r="AJ175" s="265">
        <v>-50000000</v>
      </c>
      <c r="AK175" s="269">
        <v>7</v>
      </c>
      <c r="AL175" s="269">
        <f t="shared" si="39"/>
        <v>147</v>
      </c>
      <c r="AM175" s="265">
        <f t="shared" si="45"/>
        <v>-7350000000</v>
      </c>
      <c r="AN175" s="269" t="s">
        <v>5092</v>
      </c>
    </row>
    <row r="176" spans="15:43">
      <c r="Q176" s="169">
        <v>172529</v>
      </c>
      <c r="R176" s="213" t="s">
        <v>5332</v>
      </c>
      <c r="S176" s="213">
        <f>S175-2</f>
        <v>41</v>
      </c>
      <c r="T176" s="213" t="s">
        <v>5334</v>
      </c>
      <c r="U176" s="213">
        <v>6870</v>
      </c>
      <c r="V176" s="99">
        <f t="shared" si="46"/>
        <v>7190.4996164383565</v>
      </c>
      <c r="W176" s="32">
        <f t="shared" si="49"/>
        <v>7334.3096087671238</v>
      </c>
      <c r="X176" s="32">
        <f t="shared" si="50"/>
        <v>7478.1196010958911</v>
      </c>
      <c r="AH176" s="99">
        <v>156</v>
      </c>
      <c r="AI176" s="113" t="s">
        <v>5090</v>
      </c>
      <c r="AJ176" s="113">
        <v>10000000</v>
      </c>
      <c r="AK176" s="99">
        <v>12</v>
      </c>
      <c r="AL176" s="20">
        <f t="shared" si="39"/>
        <v>140</v>
      </c>
      <c r="AM176" s="117">
        <f t="shared" si="45"/>
        <v>1400000000</v>
      </c>
      <c r="AN176" s="20" t="s">
        <v>4746</v>
      </c>
    </row>
    <row r="177" spans="17:44">
      <c r="Q177" s="169">
        <v>296336</v>
      </c>
      <c r="R177" s="213" t="s">
        <v>5332</v>
      </c>
      <c r="S177" s="213">
        <f>S176</f>
        <v>41</v>
      </c>
      <c r="T177" s="213" t="s">
        <v>5335</v>
      </c>
      <c r="U177" s="213">
        <v>6860.4</v>
      </c>
      <c r="V177" s="99">
        <f t="shared" si="46"/>
        <v>7180.4517567123285</v>
      </c>
      <c r="W177" s="32">
        <f t="shared" si="49"/>
        <v>7324.0607918465748</v>
      </c>
      <c r="X177" s="32">
        <f t="shared" si="50"/>
        <v>7467.6698269808221</v>
      </c>
      <c r="AH177" s="99">
        <v>157</v>
      </c>
      <c r="AI177" s="113" t="s">
        <v>5099</v>
      </c>
      <c r="AJ177" s="113">
        <v>-16266000</v>
      </c>
      <c r="AK177" s="99">
        <v>1</v>
      </c>
      <c r="AL177" s="20">
        <f t="shared" si="39"/>
        <v>128</v>
      </c>
      <c r="AM177" s="117">
        <f t="shared" si="45"/>
        <v>-2082048000</v>
      </c>
      <c r="AN177" s="20" t="s">
        <v>5114</v>
      </c>
      <c r="AQ177" t="s">
        <v>25</v>
      </c>
    </row>
    <row r="178" spans="17:44">
      <c r="Q178" s="169">
        <v>302781</v>
      </c>
      <c r="R178" s="213" t="s">
        <v>5332</v>
      </c>
      <c r="S178" s="213">
        <f>S177</f>
        <v>41</v>
      </c>
      <c r="T178" s="213" t="s">
        <v>5336</v>
      </c>
      <c r="U178" s="213">
        <v>6850.3</v>
      </c>
      <c r="V178" s="99">
        <f t="shared" si="46"/>
        <v>7169.8805709589051</v>
      </c>
      <c r="W178" s="32">
        <f t="shared" si="49"/>
        <v>7313.2781823780833</v>
      </c>
      <c r="X178" s="32">
        <f t="shared" si="50"/>
        <v>7456.6757937972616</v>
      </c>
      <c r="AH178" s="99">
        <v>158</v>
      </c>
      <c r="AI178" s="113" t="s">
        <v>5115</v>
      </c>
      <c r="AJ178" s="113">
        <v>1000000</v>
      </c>
      <c r="AK178" s="99">
        <v>6</v>
      </c>
      <c r="AL178" s="20">
        <f t="shared" ref="AL178:AL181" si="51">AL179+AK178</f>
        <v>127</v>
      </c>
      <c r="AM178" s="117">
        <f t="shared" ref="AM178:AM181" si="52">AJ178*AL178</f>
        <v>127000000</v>
      </c>
      <c r="AN178" s="20"/>
    </row>
    <row r="179" spans="17:44">
      <c r="Q179" s="169">
        <v>204929</v>
      </c>
      <c r="R179" s="213" t="s">
        <v>5337</v>
      </c>
      <c r="S179" s="213">
        <f>S178-4</f>
        <v>37</v>
      </c>
      <c r="T179" s="213" t="s">
        <v>5385</v>
      </c>
      <c r="U179" s="213">
        <v>6800.1</v>
      </c>
      <c r="V179" s="99">
        <f t="shared" si="46"/>
        <v>7096.4725775342486</v>
      </c>
      <c r="W179" s="32">
        <f t="shared" ref="W179:W183" si="53">V179*(1+$W$19/100)</f>
        <v>7238.4020290849339</v>
      </c>
      <c r="X179" s="32">
        <f t="shared" ref="X179:X183" si="54">V179*(1+$X$19/100)</f>
        <v>7380.3314806356184</v>
      </c>
      <c r="Y179" t="s">
        <v>25</v>
      </c>
      <c r="AH179" s="99">
        <v>159</v>
      </c>
      <c r="AI179" s="113" t="s">
        <v>5123</v>
      </c>
      <c r="AJ179" s="113">
        <v>40000</v>
      </c>
      <c r="AK179" s="99">
        <v>5</v>
      </c>
      <c r="AL179" s="20">
        <f t="shared" si="51"/>
        <v>121</v>
      </c>
      <c r="AM179" s="117">
        <f t="shared" si="52"/>
        <v>4840000</v>
      </c>
      <c r="AN179" s="20"/>
    </row>
    <row r="180" spans="17:44">
      <c r="Q180" s="169">
        <v>283814</v>
      </c>
      <c r="R180" s="213" t="s">
        <v>5395</v>
      </c>
      <c r="S180" s="213">
        <f>S179-36</f>
        <v>1</v>
      </c>
      <c r="T180" s="213" t="s">
        <v>5396</v>
      </c>
      <c r="U180" s="213">
        <v>298</v>
      </c>
      <c r="V180" s="99">
        <f t="shared" si="46"/>
        <v>302.75820273972602</v>
      </c>
      <c r="W180" s="32">
        <f t="shared" si="53"/>
        <v>308.81336679452056</v>
      </c>
      <c r="X180" s="32">
        <f t="shared" si="54"/>
        <v>314.86853084931505</v>
      </c>
      <c r="AH180" s="99">
        <v>160</v>
      </c>
      <c r="AI180" s="113" t="s">
        <v>5135</v>
      </c>
      <c r="AJ180" s="113">
        <v>120000</v>
      </c>
      <c r="AK180" s="99">
        <v>6</v>
      </c>
      <c r="AL180" s="20">
        <f t="shared" si="51"/>
        <v>116</v>
      </c>
      <c r="AM180" s="117">
        <f t="shared" si="52"/>
        <v>13920000</v>
      </c>
      <c r="AN180" s="20"/>
    </row>
    <row r="181" spans="17:44">
      <c r="Q181" s="169">
        <v>102173</v>
      </c>
      <c r="R181" s="213" t="s">
        <v>5397</v>
      </c>
      <c r="S181" s="213">
        <f>S180-1</f>
        <v>0</v>
      </c>
      <c r="T181" s="213" t="s">
        <v>5402</v>
      </c>
      <c r="U181" s="213">
        <v>6357</v>
      </c>
      <c r="V181" s="99">
        <f t="shared" si="46"/>
        <v>6453.626400000001</v>
      </c>
      <c r="W181" s="32">
        <f t="shared" si="53"/>
        <v>6582.6989280000007</v>
      </c>
      <c r="X181" s="32">
        <f t="shared" si="54"/>
        <v>6711.7714560000013</v>
      </c>
      <c r="Y181" t="s">
        <v>25</v>
      </c>
      <c r="AH181" s="99">
        <v>161</v>
      </c>
      <c r="AI181" s="113" t="s">
        <v>5128</v>
      </c>
      <c r="AJ181" s="113">
        <v>249000</v>
      </c>
      <c r="AK181" s="99">
        <v>9</v>
      </c>
      <c r="AL181" s="20">
        <f t="shared" si="51"/>
        <v>110</v>
      </c>
      <c r="AM181" s="117">
        <f t="shared" si="52"/>
        <v>27390000</v>
      </c>
      <c r="AN181" s="20"/>
    </row>
    <row r="182" spans="17:44">
      <c r="Q182" s="169">
        <v>101286</v>
      </c>
      <c r="R182" s="213" t="s">
        <v>5400</v>
      </c>
      <c r="S182" s="213">
        <f>S181-1</f>
        <v>-1</v>
      </c>
      <c r="T182" s="213" t="s">
        <v>5401</v>
      </c>
      <c r="U182" s="213">
        <v>297.39999999999998</v>
      </c>
      <c r="V182" s="99">
        <f t="shared" si="46"/>
        <v>301.69233753424663</v>
      </c>
      <c r="W182" s="32">
        <f t="shared" si="53"/>
        <v>307.72618428493155</v>
      </c>
      <c r="X182" s="32">
        <f t="shared" si="54"/>
        <v>313.76003103561652</v>
      </c>
      <c r="Y182" t="s">
        <v>25</v>
      </c>
      <c r="AH182" s="99">
        <v>162</v>
      </c>
      <c r="AI182" s="113" t="s">
        <v>5158</v>
      </c>
      <c r="AJ182" s="113">
        <v>65000</v>
      </c>
      <c r="AK182" s="99">
        <v>7</v>
      </c>
      <c r="AL182" s="20">
        <f t="shared" ref="AL182" si="55">AL183+AK182</f>
        <v>101</v>
      </c>
      <c r="AM182" s="117">
        <f t="shared" ref="AM182" si="56">AJ182*AL182</f>
        <v>6565000</v>
      </c>
      <c r="AN182" s="20"/>
    </row>
    <row r="183" spans="17:44">
      <c r="Q183" s="169"/>
      <c r="R183" s="168"/>
      <c r="S183" s="168"/>
      <c r="T183" s="168"/>
      <c r="U183" s="168"/>
      <c r="V183" s="99">
        <f t="shared" si="46"/>
        <v>0</v>
      </c>
      <c r="W183" s="32">
        <f t="shared" si="53"/>
        <v>0</v>
      </c>
      <c r="X183" s="32">
        <f t="shared" si="54"/>
        <v>0</v>
      </c>
      <c r="AH183" s="99">
        <v>163</v>
      </c>
      <c r="AI183" s="113" t="s">
        <v>5171</v>
      </c>
      <c r="AJ183" s="113">
        <v>-312598</v>
      </c>
      <c r="AK183" s="99">
        <v>0</v>
      </c>
      <c r="AL183" s="20">
        <f t="shared" ref="AL183:AL190" si="57">AL184+AK183</f>
        <v>94</v>
      </c>
      <c r="AM183" s="117">
        <f t="shared" ref="AM183:AM190" si="58">AJ183*AL183</f>
        <v>-29384212</v>
      </c>
      <c r="AN183" s="20"/>
      <c r="AO183" t="s">
        <v>25</v>
      </c>
      <c r="AQ183" t="s">
        <v>25</v>
      </c>
    </row>
    <row r="184" spans="17:44">
      <c r="Q184" s="113">
        <f>SUM(N44:N49)-SUM(Q122:Q183)</f>
        <v>464810847.39999986</v>
      </c>
      <c r="R184" s="112"/>
      <c r="S184" s="112"/>
      <c r="T184" s="112"/>
      <c r="U184" s="168"/>
      <c r="V184" s="99" t="s">
        <v>25</v>
      </c>
      <c r="W184" s="32"/>
      <c r="X184" s="32"/>
      <c r="AH184" s="99">
        <v>164</v>
      </c>
      <c r="AI184" s="113" t="s">
        <v>5171</v>
      </c>
      <c r="AJ184" s="113">
        <v>50000</v>
      </c>
      <c r="AK184" s="99">
        <v>6</v>
      </c>
      <c r="AL184" s="20">
        <f t="shared" si="57"/>
        <v>94</v>
      </c>
      <c r="AM184" s="117">
        <f t="shared" si="58"/>
        <v>4700000</v>
      </c>
      <c r="AN184" s="20"/>
      <c r="AR184" t="s">
        <v>25</v>
      </c>
    </row>
    <row r="185" spans="17:44">
      <c r="Q185" s="26"/>
      <c r="R185" s="181"/>
      <c r="S185" s="181"/>
      <c r="T185" t="s">
        <v>25</v>
      </c>
      <c r="U185" s="96" t="s">
        <v>25</v>
      </c>
      <c r="V185" s="96" t="s">
        <v>25</v>
      </c>
      <c r="W185" s="96" t="s">
        <v>25</v>
      </c>
      <c r="Y185" t="s">
        <v>25</v>
      </c>
      <c r="AH185" s="99">
        <v>165</v>
      </c>
      <c r="AI185" s="113" t="s">
        <v>5184</v>
      </c>
      <c r="AJ185" s="113">
        <v>-200000</v>
      </c>
      <c r="AK185" s="99">
        <v>0</v>
      </c>
      <c r="AL185" s="20">
        <f t="shared" si="57"/>
        <v>88</v>
      </c>
      <c r="AM185" s="117">
        <f t="shared" si="58"/>
        <v>-17600000</v>
      </c>
      <c r="AN185" s="20" t="s">
        <v>5185</v>
      </c>
    </row>
    <row r="186" spans="17:44">
      <c r="R186" s="32" t="s">
        <v>4557</v>
      </c>
      <c r="S186" s="32" t="s">
        <v>948</v>
      </c>
      <c r="T186" t="s">
        <v>25</v>
      </c>
      <c r="U186" s="96" t="s">
        <v>25</v>
      </c>
      <c r="V186" s="96" t="s">
        <v>25</v>
      </c>
      <c r="W186" s="96" t="s">
        <v>25</v>
      </c>
      <c r="X186" s="122" t="s">
        <v>25</v>
      </c>
      <c r="AH186" s="99">
        <v>166</v>
      </c>
      <c r="AI186" s="113" t="s">
        <v>5184</v>
      </c>
      <c r="AJ186" s="113">
        <v>200000</v>
      </c>
      <c r="AK186" s="99">
        <v>3</v>
      </c>
      <c r="AL186" s="20">
        <f t="shared" si="57"/>
        <v>88</v>
      </c>
      <c r="AM186" s="117">
        <f t="shared" si="58"/>
        <v>17600000</v>
      </c>
      <c r="AN186" s="20"/>
      <c r="AQ186" t="s">
        <v>25</v>
      </c>
      <c r="AR186" t="s">
        <v>25</v>
      </c>
    </row>
    <row r="187" spans="17:44">
      <c r="R187" s="32">
        <v>123</v>
      </c>
      <c r="S187" s="234">
        <v>500584</v>
      </c>
      <c r="U187" s="96" t="s">
        <v>25</v>
      </c>
      <c r="V187" s="122" t="s">
        <v>25</v>
      </c>
      <c r="W187" s="96" t="s">
        <v>25</v>
      </c>
      <c r="X187" t="s">
        <v>25</v>
      </c>
      <c r="Z187" t="s">
        <v>25</v>
      </c>
      <c r="AH187" s="99">
        <v>167</v>
      </c>
      <c r="AI187" s="113" t="s">
        <v>5193</v>
      </c>
      <c r="AJ187" s="113">
        <v>200000</v>
      </c>
      <c r="AK187" s="99">
        <v>3</v>
      </c>
      <c r="AL187" s="20">
        <f t="shared" si="57"/>
        <v>85</v>
      </c>
      <c r="AM187" s="117">
        <f t="shared" si="58"/>
        <v>17000000</v>
      </c>
      <c r="AN187" s="20"/>
    </row>
    <row r="188" spans="17:44">
      <c r="Q188" t="s">
        <v>25</v>
      </c>
      <c r="R188" s="32">
        <v>76</v>
      </c>
      <c r="S188" s="1">
        <f>S187*R188/R187</f>
        <v>309303.93495934957</v>
      </c>
      <c r="U188" s="96" t="s">
        <v>25</v>
      </c>
      <c r="V188" s="122" t="s">
        <v>25</v>
      </c>
      <c r="W188" s="96" t="s">
        <v>25</v>
      </c>
      <c r="X188" t="s">
        <v>25</v>
      </c>
      <c r="AH188" s="99">
        <v>168</v>
      </c>
      <c r="AI188" s="113" t="s">
        <v>5198</v>
      </c>
      <c r="AJ188" s="113">
        <v>30000</v>
      </c>
      <c r="AK188" s="99">
        <v>7</v>
      </c>
      <c r="AL188" s="20">
        <f t="shared" si="57"/>
        <v>82</v>
      </c>
      <c r="AM188" s="117">
        <f t="shared" si="58"/>
        <v>2460000</v>
      </c>
      <c r="AN188" s="20"/>
    </row>
    <row r="189" spans="17:44">
      <c r="R189" s="32">
        <f>R187-R188</f>
        <v>47</v>
      </c>
      <c r="S189" s="1">
        <f>R189*S187/R187</f>
        <v>191280.0650406504</v>
      </c>
      <c r="T189" t="s">
        <v>25</v>
      </c>
      <c r="U189" s="122" t="s">
        <v>25</v>
      </c>
      <c r="V189" s="96"/>
      <c r="W189" s="122" t="s">
        <v>25</v>
      </c>
      <c r="X189" t="s">
        <v>25</v>
      </c>
      <c r="AH189" s="99">
        <v>169</v>
      </c>
      <c r="AI189" s="113" t="s">
        <v>5146</v>
      </c>
      <c r="AJ189" s="113">
        <v>-10000000</v>
      </c>
      <c r="AK189" s="99">
        <v>0</v>
      </c>
      <c r="AL189" s="20">
        <f t="shared" si="57"/>
        <v>75</v>
      </c>
      <c r="AM189" s="117">
        <f t="shared" si="58"/>
        <v>-750000000</v>
      </c>
      <c r="AN189" s="20" t="s">
        <v>5092</v>
      </c>
    </row>
    <row r="190" spans="17:44">
      <c r="V190" s="96"/>
      <c r="W190"/>
      <c r="X190" t="s">
        <v>25</v>
      </c>
      <c r="AH190" s="99">
        <v>170</v>
      </c>
      <c r="AI190" s="113" t="s">
        <v>5146</v>
      </c>
      <c r="AJ190" s="113">
        <v>6000000</v>
      </c>
      <c r="AK190" s="99">
        <v>8</v>
      </c>
      <c r="AL190" s="20">
        <f t="shared" si="57"/>
        <v>75</v>
      </c>
      <c r="AM190" s="117">
        <f t="shared" si="58"/>
        <v>450000000</v>
      </c>
      <c r="AN190" s="20"/>
      <c r="AP190" t="s">
        <v>25</v>
      </c>
    </row>
    <row r="191" spans="17:44">
      <c r="Q191" s="99" t="s">
        <v>4448</v>
      </c>
      <c r="R191" s="99" t="s">
        <v>4450</v>
      </c>
      <c r="S191" s="99"/>
      <c r="T191" s="99" t="s">
        <v>4451</v>
      </c>
      <c r="U191" s="99"/>
      <c r="V191" s="99"/>
      <c r="W191" s="99" t="s">
        <v>4560</v>
      </c>
      <c r="Y191" t="s">
        <v>25</v>
      </c>
      <c r="AH191" s="99">
        <v>171</v>
      </c>
      <c r="AI191" s="113" t="s">
        <v>5234</v>
      </c>
      <c r="AJ191" s="113">
        <v>150000</v>
      </c>
      <c r="AK191" s="99">
        <v>7</v>
      </c>
      <c r="AL191" s="20">
        <f t="shared" ref="AL191:AL216" si="59">AL192+AK191</f>
        <v>67</v>
      </c>
      <c r="AM191" s="117">
        <f t="shared" ref="AM191:AM216" si="60">AJ191*AL191</f>
        <v>10050000</v>
      </c>
      <c r="AN191" s="20"/>
    </row>
    <row r="192" spans="17:44">
      <c r="Q192" s="113">
        <v>1000</v>
      </c>
      <c r="R192" s="99">
        <v>0.25</v>
      </c>
      <c r="S192" s="99"/>
      <c r="T192" s="99">
        <f>1-R192</f>
        <v>0.75</v>
      </c>
      <c r="U192" s="99"/>
      <c r="V192" s="99"/>
      <c r="W192" s="99"/>
      <c r="AH192" s="99">
        <v>172</v>
      </c>
      <c r="AI192" s="113" t="s">
        <v>5278</v>
      </c>
      <c r="AJ192" s="113">
        <v>400000</v>
      </c>
      <c r="AK192" s="99">
        <v>1</v>
      </c>
      <c r="AL192" s="20">
        <f t="shared" si="59"/>
        <v>60</v>
      </c>
      <c r="AM192" s="117">
        <f t="shared" si="60"/>
        <v>24000000</v>
      </c>
      <c r="AN192" s="20"/>
    </row>
    <row r="193" spans="15:45">
      <c r="Q193" s="168" t="s">
        <v>4435</v>
      </c>
      <c r="R193" s="168" t="s">
        <v>4453</v>
      </c>
      <c r="S193" s="168" t="s">
        <v>4454</v>
      </c>
      <c r="T193" s="168"/>
      <c r="U193" s="168" t="s">
        <v>4449</v>
      </c>
      <c r="V193" s="56" t="s">
        <v>4452</v>
      </c>
      <c r="W193" s="99"/>
      <c r="X193" s="8" t="s">
        <v>25</v>
      </c>
      <c r="AH193" s="99">
        <v>173</v>
      </c>
      <c r="AI193" s="113" t="s">
        <v>5284</v>
      </c>
      <c r="AJ193" s="113">
        <v>-100000</v>
      </c>
      <c r="AK193" s="99">
        <v>1</v>
      </c>
      <c r="AL193" s="20">
        <f t="shared" si="59"/>
        <v>59</v>
      </c>
      <c r="AM193" s="117">
        <f t="shared" si="60"/>
        <v>-5900000</v>
      </c>
      <c r="AN193" s="20"/>
    </row>
    <row r="194" spans="15:45">
      <c r="Q194" s="168" t="s">
        <v>750</v>
      </c>
      <c r="R194" s="56">
        <v>1753091</v>
      </c>
      <c r="S194" s="113">
        <f>R194*$T$351</f>
        <v>952511284.76055598</v>
      </c>
      <c r="T194" s="168"/>
      <c r="U194" s="168">
        <f>$Q$192*$T$192*S194/$R$221</f>
        <v>359.85771476006488</v>
      </c>
      <c r="V194" s="95">
        <f>S194+U194</f>
        <v>952511644.61827075</v>
      </c>
      <c r="W194" s="99">
        <f>R194*100/U348</f>
        <v>47.981028634675319</v>
      </c>
      <c r="X194" s="217"/>
      <c r="AH194" s="99">
        <v>174</v>
      </c>
      <c r="AI194" s="113" t="s">
        <v>5289</v>
      </c>
      <c r="AJ194" s="113">
        <v>10000000</v>
      </c>
      <c r="AK194" s="99">
        <v>1</v>
      </c>
      <c r="AL194" s="20">
        <f t="shared" si="59"/>
        <v>58</v>
      </c>
      <c r="AM194" s="117">
        <f t="shared" si="60"/>
        <v>580000000</v>
      </c>
      <c r="AN194" s="20" t="s">
        <v>4746</v>
      </c>
      <c r="AS194" t="s">
        <v>25</v>
      </c>
    </row>
    <row r="195" spans="15:45">
      <c r="P195">
        <f>R196-123</f>
        <v>50269</v>
      </c>
      <c r="Q195" s="168" t="s">
        <v>4437</v>
      </c>
      <c r="R195" s="56">
        <v>1612153</v>
      </c>
      <c r="S195" s="113">
        <f>R195*$T$351</f>
        <v>875935091.36752439</v>
      </c>
      <c r="T195" s="168"/>
      <c r="U195" s="213">
        <f>$Q$192*$T$192*S195/$R$221</f>
        <v>330.92731319913395</v>
      </c>
      <c r="V195" s="95">
        <f t="shared" ref="V195:V196" si="61">S195+U195</f>
        <v>875935422.29483759</v>
      </c>
      <c r="W195" s="99">
        <f>R195*100/U348</f>
        <v>44.123641759884521</v>
      </c>
      <c r="X195" s="115"/>
      <c r="AH195" s="99">
        <v>175</v>
      </c>
      <c r="AI195" s="113" t="s">
        <v>5298</v>
      </c>
      <c r="AJ195" s="113">
        <v>-400000</v>
      </c>
      <c r="AK195" s="99">
        <v>6</v>
      </c>
      <c r="AL195" s="20">
        <f t="shared" ref="AL195:AL203" si="62">AL196+AK195</f>
        <v>57</v>
      </c>
      <c r="AM195" s="117">
        <f t="shared" ref="AM195:AM203" si="63">AJ195*AL195</f>
        <v>-22800000</v>
      </c>
      <c r="AN195" s="20"/>
    </row>
    <row r="196" spans="15:45">
      <c r="Q196" s="168" t="s">
        <v>4436</v>
      </c>
      <c r="R196" s="56">
        <v>50392</v>
      </c>
      <c r="S196" s="113">
        <f>R196*$T$351</f>
        <v>27379610.449003469</v>
      </c>
      <c r="T196" s="168"/>
      <c r="U196" s="213">
        <f>$Q$192*$T$192*S196/$R$221</f>
        <v>10.343986685339889</v>
      </c>
      <c r="V196" s="95">
        <f t="shared" si="61"/>
        <v>27379620.792990156</v>
      </c>
      <c r="W196" s="99">
        <f>R196*100/U348</f>
        <v>1.3791982247119852</v>
      </c>
      <c r="X196" s="115"/>
      <c r="AH196" s="99">
        <v>176</v>
      </c>
      <c r="AI196" s="113" t="s">
        <v>5309</v>
      </c>
      <c r="AJ196" s="113">
        <v>1300000</v>
      </c>
      <c r="AK196" s="99">
        <v>0</v>
      </c>
      <c r="AL196" s="20">
        <f t="shared" si="62"/>
        <v>51</v>
      </c>
      <c r="AM196" s="117">
        <f t="shared" si="63"/>
        <v>66300000</v>
      </c>
      <c r="AN196" s="20"/>
      <c r="AR196" t="s">
        <v>25</v>
      </c>
    </row>
    <row r="197" spans="15:45">
      <c r="P197" s="114"/>
      <c r="Q197" s="168" t="s">
        <v>1084</v>
      </c>
      <c r="R197" s="56">
        <v>238081</v>
      </c>
      <c r="S197" s="113">
        <f>R197*$T$351</f>
        <v>129357140.72291623</v>
      </c>
      <c r="T197" s="168"/>
      <c r="U197" s="213">
        <f>$Q$192*$T$192*S197/$R$221</f>
        <v>48.870985355461308</v>
      </c>
      <c r="V197" s="95">
        <f>S197+U197</f>
        <v>129357189.59390159</v>
      </c>
      <c r="W197" s="99">
        <f>R197*100/U348</f>
        <v>6.5161313807281731</v>
      </c>
      <c r="X197" s="115"/>
      <c r="Y197" t="s">
        <v>25</v>
      </c>
      <c r="AH197" s="99">
        <v>177</v>
      </c>
      <c r="AI197" s="113" t="s">
        <v>5309</v>
      </c>
      <c r="AJ197" s="113">
        <v>230000</v>
      </c>
      <c r="AK197" s="99">
        <v>1</v>
      </c>
      <c r="AL197" s="20">
        <f t="shared" si="62"/>
        <v>51</v>
      </c>
      <c r="AM197" s="117">
        <f t="shared" si="63"/>
        <v>11730000</v>
      </c>
      <c r="AN197" s="20"/>
    </row>
    <row r="198" spans="15:45">
      <c r="O198" t="s">
        <v>25</v>
      </c>
      <c r="P198" s="114"/>
      <c r="Q198" s="168"/>
      <c r="R198" s="56"/>
      <c r="S198" s="168"/>
      <c r="T198" s="168"/>
      <c r="U198" s="168"/>
      <c r="V198" s="168"/>
      <c r="W198" s="99"/>
      <c r="X198" s="96"/>
      <c r="AH198" s="99">
        <v>178</v>
      </c>
      <c r="AI198" s="113" t="s">
        <v>5315</v>
      </c>
      <c r="AJ198" s="113">
        <v>880000</v>
      </c>
      <c r="AK198" s="99">
        <v>4</v>
      </c>
      <c r="AL198" s="20">
        <f t="shared" si="62"/>
        <v>50</v>
      </c>
      <c r="AM198" s="117">
        <f t="shared" si="63"/>
        <v>44000000</v>
      </c>
      <c r="AN198" s="20"/>
    </row>
    <row r="199" spans="15:45">
      <c r="P199" s="114"/>
      <c r="Q199" s="168"/>
      <c r="R199" s="168"/>
      <c r="S199" s="168"/>
      <c r="T199" s="168"/>
      <c r="U199" s="168"/>
      <c r="V199" s="168"/>
      <c r="W199" s="99"/>
      <c r="X199" s="96"/>
      <c r="AH199" s="99">
        <v>179</v>
      </c>
      <c r="AI199" s="113" t="s">
        <v>5320</v>
      </c>
      <c r="AJ199" s="113">
        <v>-900000</v>
      </c>
      <c r="AK199" s="99">
        <v>1</v>
      </c>
      <c r="AL199" s="20">
        <f t="shared" si="62"/>
        <v>46</v>
      </c>
      <c r="AM199" s="117">
        <f t="shared" si="63"/>
        <v>-41400000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45</v>
      </c>
      <c r="AM200" s="117">
        <f t="shared" si="63"/>
        <v>-157500000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44</v>
      </c>
      <c r="AM201" s="117">
        <f t="shared" si="63"/>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62"/>
        <v>43</v>
      </c>
      <c r="AM202" s="117">
        <f t="shared" si="63"/>
        <v>-34400000</v>
      </c>
      <c r="AN202" s="20"/>
    </row>
    <row r="203" spans="15:45">
      <c r="Q203" s="96"/>
      <c r="R203" s="96"/>
      <c r="S203" s="96"/>
      <c r="T203" s="96"/>
      <c r="V203" s="96"/>
      <c r="X203" s="115"/>
      <c r="AH203" s="99">
        <v>183</v>
      </c>
      <c r="AI203" s="113" t="s">
        <v>5347</v>
      </c>
      <c r="AJ203" s="113">
        <v>50000</v>
      </c>
      <c r="AK203" s="99">
        <v>2</v>
      </c>
      <c r="AL203" s="20">
        <f t="shared" si="62"/>
        <v>36</v>
      </c>
      <c r="AM203" s="117">
        <f t="shared" si="63"/>
        <v>1800000</v>
      </c>
      <c r="AN203" s="20"/>
    </row>
    <row r="204" spans="15:45">
      <c r="P204" s="114"/>
      <c r="Q204" s="99" t="s">
        <v>5034</v>
      </c>
      <c r="R204" s="95">
        <f>S194-R209</f>
        <v>245891413.76055598</v>
      </c>
      <c r="S204" s="96"/>
      <c r="T204" s="96"/>
      <c r="V204" s="96"/>
      <c r="AH204" s="99">
        <v>184</v>
      </c>
      <c r="AI204" s="113" t="s">
        <v>5350</v>
      </c>
      <c r="AJ204" s="113">
        <v>400000</v>
      </c>
      <c r="AK204" s="99">
        <v>8</v>
      </c>
      <c r="AL204" s="20">
        <f t="shared" ref="AL204:AL215" si="64">AL205+AK204</f>
        <v>34</v>
      </c>
      <c r="AM204" s="117">
        <f t="shared" ref="AM204:AM215" si="65">AJ204*AL204</f>
        <v>13600000</v>
      </c>
      <c r="AN204" s="20"/>
      <c r="AR204" t="s">
        <v>25</v>
      </c>
    </row>
    <row r="205" spans="15:45">
      <c r="P205" s="114"/>
      <c r="Q205" s="99" t="s">
        <v>5035</v>
      </c>
      <c r="R205" s="95">
        <f>S197+S196-R210</f>
        <v>12613872.271919698</v>
      </c>
      <c r="S205" s="96"/>
      <c r="T205" s="96" t="s">
        <v>25</v>
      </c>
      <c r="V205" s="96"/>
      <c r="AH205" s="99">
        <v>185</v>
      </c>
      <c r="AI205" s="113" t="s">
        <v>5307</v>
      </c>
      <c r="AJ205" s="113">
        <v>-10000000</v>
      </c>
      <c r="AK205" s="99">
        <v>0</v>
      </c>
      <c r="AL205" s="20">
        <f t="shared" si="64"/>
        <v>26</v>
      </c>
      <c r="AM205" s="117">
        <f t="shared" si="65"/>
        <v>-260000000</v>
      </c>
      <c r="AN205" s="20" t="s">
        <v>5092</v>
      </c>
    </row>
    <row r="206" spans="15:45">
      <c r="Q206" s="96"/>
      <c r="R206" s="96"/>
      <c r="S206" s="96"/>
      <c r="T206" s="96"/>
      <c r="V206" s="96"/>
      <c r="AH206" s="99">
        <v>186</v>
      </c>
      <c r="AI206" s="113" t="s">
        <v>5307</v>
      </c>
      <c r="AJ206" s="113">
        <v>3000000</v>
      </c>
      <c r="AK206" s="99">
        <v>1</v>
      </c>
      <c r="AL206" s="20">
        <f t="shared" si="64"/>
        <v>26</v>
      </c>
      <c r="AM206" s="117">
        <f t="shared" si="65"/>
        <v>78000000</v>
      </c>
      <c r="AN206" s="20"/>
    </row>
    <row r="207" spans="15:45">
      <c r="P207" s="114"/>
      <c r="Q207" s="96"/>
      <c r="R207" s="96"/>
      <c r="S207" s="96"/>
      <c r="T207" s="99" t="s">
        <v>180</v>
      </c>
      <c r="U207" s="99" t="s">
        <v>4470</v>
      </c>
      <c r="V207" s="99" t="s">
        <v>4471</v>
      </c>
      <c r="W207" s="99" t="s">
        <v>4481</v>
      </c>
      <c r="X207" s="99" t="s">
        <v>8</v>
      </c>
      <c r="AH207" s="99">
        <v>187</v>
      </c>
      <c r="AI207" s="113" t="s">
        <v>5369</v>
      </c>
      <c r="AJ207" s="113">
        <v>500000</v>
      </c>
      <c r="AK207" s="99">
        <v>23</v>
      </c>
      <c r="AL207" s="20">
        <f t="shared" si="64"/>
        <v>25</v>
      </c>
      <c r="AM207" s="117">
        <f t="shared" si="65"/>
        <v>12500000</v>
      </c>
      <c r="AN207" s="20"/>
      <c r="AR207" t="s">
        <v>25</v>
      </c>
    </row>
    <row r="208" spans="15:45">
      <c r="Q208" s="36" t="s">
        <v>4556</v>
      </c>
      <c r="R208" s="95">
        <f>SUM(N44:N49)</f>
        <v>1130189692.3999999</v>
      </c>
      <c r="T208" s="113" t="s">
        <v>4447</v>
      </c>
      <c r="U208" s="56">
        <v>1000000</v>
      </c>
      <c r="V208" s="113">
        <v>239.024</v>
      </c>
      <c r="W208" s="113">
        <f t="shared" ref="W208:W309" si="66">U208*V208</f>
        <v>239024000</v>
      </c>
      <c r="X208" s="99"/>
      <c r="AH208" s="99">
        <v>188</v>
      </c>
      <c r="AI208" s="113" t="s">
        <v>5397</v>
      </c>
      <c r="AJ208" s="113">
        <v>101268</v>
      </c>
      <c r="AK208" s="99">
        <v>1</v>
      </c>
      <c r="AL208" s="20">
        <f t="shared" si="64"/>
        <v>2</v>
      </c>
      <c r="AM208" s="117">
        <f t="shared" si="65"/>
        <v>202536</v>
      </c>
      <c r="AN208" s="20"/>
      <c r="AR208" t="s">
        <v>25</v>
      </c>
    </row>
    <row r="209" spans="16:45">
      <c r="Q209" s="99" t="s">
        <v>4438</v>
      </c>
      <c r="R209" s="95">
        <f>SUM(N21:N25)</f>
        <v>706619871</v>
      </c>
      <c r="T209" s="168" t="s">
        <v>4429</v>
      </c>
      <c r="U209" s="56">
        <v>5904</v>
      </c>
      <c r="V209" s="113">
        <v>237.148</v>
      </c>
      <c r="W209" s="113">
        <f t="shared" si="66"/>
        <v>1400121.7919999999</v>
      </c>
      <c r="X209" s="99" t="s">
        <v>750</v>
      </c>
      <c r="AH209" s="99">
        <v>189</v>
      </c>
      <c r="AI209" s="113" t="s">
        <v>5400</v>
      </c>
      <c r="AJ209" s="113">
        <v>101000</v>
      </c>
      <c r="AK209" s="99">
        <v>1</v>
      </c>
      <c r="AL209" s="20">
        <f t="shared" si="64"/>
        <v>1</v>
      </c>
      <c r="AM209" s="117">
        <f t="shared" si="65"/>
        <v>101000</v>
      </c>
      <c r="AN209" s="20"/>
      <c r="AP209" t="s">
        <v>25</v>
      </c>
    </row>
    <row r="210" spans="16:45">
      <c r="P210" s="114"/>
      <c r="Q210" s="99" t="s">
        <v>4439</v>
      </c>
      <c r="R210" s="95">
        <f>SUM(N28:N31)</f>
        <v>144122878.90000001</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59</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3743</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4749</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5324</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4242134</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P216" s="114"/>
      <c r="Q216" s="99" t="s">
        <v>5206</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491032327</v>
      </c>
      <c r="AK217" s="99"/>
      <c r="AL217" s="99"/>
      <c r="AM217" s="95">
        <f>SUM(AM20:AM216)</f>
        <v>189944510392</v>
      </c>
      <c r="AN217" s="95">
        <f>AM217*AN220/31</f>
        <v>102122746.92591819</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5207</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1985183127.3</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593155073.92591822</v>
      </c>
      <c r="AK222" s="99"/>
      <c r="AL222" s="99"/>
      <c r="AM222" s="99"/>
      <c r="AN222" s="99"/>
    </row>
    <row r="223" spans="16:45">
      <c r="T223" s="168" t="s">
        <v>4615</v>
      </c>
      <c r="U223" s="168">
        <v>79720</v>
      </c>
      <c r="V223" s="113">
        <v>246.6568</v>
      </c>
      <c r="W223" s="113">
        <f t="shared" si="66"/>
        <v>19663480.096000001</v>
      </c>
      <c r="X223" s="99" t="s">
        <v>452</v>
      </c>
      <c r="AI223" t="s">
        <v>4061</v>
      </c>
      <c r="AJ223" s="114">
        <f>SUM(N42:N49)</f>
        <v>1130189751.3999999</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639157424.39999986</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102122746.92591819</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537034677.47408164</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5202</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5242</v>
      </c>
      <c r="R241" s="149" t="s">
        <v>5238</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5276</v>
      </c>
      <c r="R242" s="149" t="s">
        <v>5273</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5279</v>
      </c>
      <c r="R243" s="149" t="s">
        <v>5278</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5289</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5321</v>
      </c>
      <c r="R245" s="195" t="s">
        <v>5320</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5347</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5358</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5375</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5193</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5198</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5209</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5245</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5289</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5347</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5358</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5375</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5200</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5201</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5142</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5158</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5166</v>
      </c>
      <c r="U307" s="213">
        <v>-34859</v>
      </c>
      <c r="V307" s="113">
        <v>403.1585</v>
      </c>
      <c r="W307" s="113">
        <f t="shared" si="66"/>
        <v>-14053702.1515</v>
      </c>
      <c r="X307" s="36" t="s">
        <v>5170</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5177</v>
      </c>
      <c r="AH308" s="260">
        <v>75</v>
      </c>
      <c r="AI308" s="260" t="s">
        <v>5063</v>
      </c>
      <c r="AJ308" s="251">
        <v>50000</v>
      </c>
      <c r="AK308" s="260">
        <v>2</v>
      </c>
      <c r="AL308" s="260">
        <f t="shared" si="79"/>
        <v>140</v>
      </c>
      <c r="AM308" s="260">
        <f t="shared" si="80"/>
        <v>7000000</v>
      </c>
      <c r="AN308" s="260"/>
    </row>
    <row r="309" spans="17:40">
      <c r="Q309" s="99" t="s">
        <v>4651</v>
      </c>
      <c r="R309" s="95">
        <v>6550580</v>
      </c>
      <c r="T309" s="213" t="s">
        <v>5193</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5198</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5209</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5211</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5220</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5226</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5227</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5229</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5229</v>
      </c>
      <c r="U317" s="213">
        <v>9191</v>
      </c>
      <c r="V317" s="113">
        <v>440.24630000000002</v>
      </c>
      <c r="W317" s="113">
        <f t="shared" si="81"/>
        <v>4046303.7433000002</v>
      </c>
      <c r="X317" s="36" t="s">
        <v>5232</v>
      </c>
      <c r="AH317" s="20">
        <v>84</v>
      </c>
      <c r="AI317" s="20" t="s">
        <v>5123</v>
      </c>
      <c r="AJ317" s="117">
        <v>40000</v>
      </c>
      <c r="AK317" s="20">
        <v>5</v>
      </c>
      <c r="AL317" s="20">
        <f t="shared" si="79"/>
        <v>105</v>
      </c>
      <c r="AM317" s="20">
        <f t="shared" si="80"/>
        <v>4200000</v>
      </c>
      <c r="AN317" s="20"/>
    </row>
    <row r="318" spans="17:40">
      <c r="Q318" s="99" t="s">
        <v>4729</v>
      </c>
      <c r="R318" s="95">
        <v>41248054</v>
      </c>
      <c r="T318" s="213" t="s">
        <v>5234</v>
      </c>
      <c r="U318" s="213">
        <v>-8792</v>
      </c>
      <c r="V318" s="113">
        <v>441.90665999999999</v>
      </c>
      <c r="W318" s="113">
        <f t="shared" si="81"/>
        <v>-3885243.3547199997</v>
      </c>
      <c r="X318" s="36" t="s">
        <v>5235</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5239</v>
      </c>
      <c r="U319" s="213">
        <v>24374</v>
      </c>
      <c r="V319" s="113">
        <v>471.81700000000001</v>
      </c>
      <c r="W319" s="113">
        <f t="shared" si="81"/>
        <v>11500067.558</v>
      </c>
      <c r="X319" s="36" t="s">
        <v>5243</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5245</v>
      </c>
      <c r="U320" s="213">
        <v>530</v>
      </c>
      <c r="V320" s="113">
        <v>472</v>
      </c>
      <c r="W320" s="113">
        <f t="shared" si="81"/>
        <v>250160</v>
      </c>
      <c r="X320" s="36" t="s">
        <v>750</v>
      </c>
      <c r="AH320" s="20">
        <v>87</v>
      </c>
      <c r="AI320" s="20" t="s">
        <v>5142</v>
      </c>
      <c r="AJ320" s="117">
        <v>500000</v>
      </c>
      <c r="AK320" s="20">
        <v>3</v>
      </c>
      <c r="AL320" s="20">
        <f t="shared" si="82"/>
        <v>97</v>
      </c>
      <c r="AM320" s="20">
        <f t="shared" si="83"/>
        <v>48500000</v>
      </c>
      <c r="AN320" s="20"/>
    </row>
    <row r="321" spans="17:44" ht="30">
      <c r="Q321" s="99" t="s">
        <v>4807</v>
      </c>
      <c r="R321" s="95">
        <v>68656</v>
      </c>
      <c r="T321" s="213" t="s">
        <v>5245</v>
      </c>
      <c r="U321" s="213">
        <v>12</v>
      </c>
      <c r="V321" s="113">
        <v>481.86</v>
      </c>
      <c r="W321" s="113">
        <f t="shared" si="81"/>
        <v>5782.32</v>
      </c>
      <c r="X321" s="36" t="s">
        <v>5250</v>
      </c>
      <c r="AH321" s="20">
        <v>88</v>
      </c>
      <c r="AI321" s="20" t="s">
        <v>5128</v>
      </c>
      <c r="AJ321" s="117">
        <v>250000</v>
      </c>
      <c r="AK321" s="20">
        <v>0</v>
      </c>
      <c r="AL321" s="20">
        <f t="shared" si="82"/>
        <v>94</v>
      </c>
      <c r="AM321" s="20">
        <f t="shared" si="83"/>
        <v>23500000</v>
      </c>
      <c r="AN321" s="20"/>
    </row>
    <row r="322" spans="17:44">
      <c r="Q322" s="99" t="s">
        <v>4820</v>
      </c>
      <c r="R322" s="95">
        <v>4000236</v>
      </c>
      <c r="T322" s="213" t="s">
        <v>5273</v>
      </c>
      <c r="U322" s="213">
        <v>12330</v>
      </c>
      <c r="V322" s="113">
        <v>486.63443869999998</v>
      </c>
      <c r="W322" s="113">
        <f t="shared" si="81"/>
        <v>6000202.6291709999</v>
      </c>
      <c r="X322" s="36" t="s">
        <v>5243</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5278</v>
      </c>
      <c r="U323" s="213">
        <v>846</v>
      </c>
      <c r="V323" s="113">
        <v>472.7</v>
      </c>
      <c r="W323" s="113">
        <f t="shared" si="81"/>
        <v>399904.2</v>
      </c>
      <c r="X323" s="36" t="s">
        <v>452</v>
      </c>
      <c r="AH323" s="20">
        <v>90</v>
      </c>
      <c r="AI323" s="20" t="s">
        <v>5171</v>
      </c>
      <c r="AJ323" s="117">
        <v>312598</v>
      </c>
      <c r="AK323" s="20">
        <v>0</v>
      </c>
      <c r="AL323" s="20">
        <f t="shared" si="82"/>
        <v>78</v>
      </c>
      <c r="AM323" s="20">
        <f t="shared" si="83"/>
        <v>24382644</v>
      </c>
      <c r="AN323" s="20"/>
    </row>
    <row r="324" spans="17:44">
      <c r="Q324" s="99" t="s">
        <v>4825</v>
      </c>
      <c r="R324" s="95">
        <v>-2512200</v>
      </c>
      <c r="T324" s="213" t="s">
        <v>5278</v>
      </c>
      <c r="U324" s="213">
        <v>3173</v>
      </c>
      <c r="V324" s="113">
        <v>472.7</v>
      </c>
      <c r="W324" s="113">
        <f t="shared" si="81"/>
        <v>1499877.0999999999</v>
      </c>
      <c r="X324" s="36" t="s">
        <v>1084</v>
      </c>
      <c r="Y324" t="s">
        <v>25</v>
      </c>
      <c r="AH324" s="20">
        <v>91</v>
      </c>
      <c r="AI324" s="20" t="s">
        <v>5171</v>
      </c>
      <c r="AJ324" s="117">
        <v>780000</v>
      </c>
      <c r="AK324" s="20">
        <v>0</v>
      </c>
      <c r="AL324" s="20">
        <f t="shared" si="82"/>
        <v>78</v>
      </c>
      <c r="AM324" s="20">
        <f t="shared" si="83"/>
        <v>60840000</v>
      </c>
      <c r="AN324" s="20"/>
    </row>
    <row r="325" spans="17:44">
      <c r="Q325" s="99" t="s">
        <v>4834</v>
      </c>
      <c r="R325" s="95">
        <v>300000</v>
      </c>
      <c r="T325" s="213" t="s">
        <v>5284</v>
      </c>
      <c r="U325" s="213">
        <v>191</v>
      </c>
      <c r="V325" s="113">
        <v>484.572</v>
      </c>
      <c r="W325" s="113">
        <f t="shared" si="81"/>
        <v>92553.252000000008</v>
      </c>
      <c r="X325" s="36" t="s">
        <v>5285</v>
      </c>
      <c r="AH325" s="195">
        <v>92</v>
      </c>
      <c r="AI325" s="195" t="s">
        <v>5171</v>
      </c>
      <c r="AJ325" s="196">
        <v>-300000</v>
      </c>
      <c r="AK325" s="195">
        <v>1</v>
      </c>
      <c r="AL325" s="195">
        <f t="shared" si="82"/>
        <v>78</v>
      </c>
      <c r="AM325" s="195">
        <f t="shared" si="83"/>
        <v>-23400000</v>
      </c>
      <c r="AN325" s="195"/>
    </row>
    <row r="326" spans="17:44">
      <c r="Q326" s="99" t="s">
        <v>979</v>
      </c>
      <c r="R326" s="95">
        <v>1100000</v>
      </c>
      <c r="T326" s="213" t="s">
        <v>5284</v>
      </c>
      <c r="U326" s="213">
        <v>-206</v>
      </c>
      <c r="V326" s="113">
        <v>484.572</v>
      </c>
      <c r="W326" s="113">
        <f t="shared" si="81"/>
        <v>-99821.831999999995</v>
      </c>
      <c r="X326" s="36" t="s">
        <v>5287</v>
      </c>
      <c r="AH326" s="20">
        <v>93</v>
      </c>
      <c r="AI326" s="20" t="s">
        <v>5129</v>
      </c>
      <c r="AJ326" s="117">
        <v>300000</v>
      </c>
      <c r="AK326" s="20">
        <v>0</v>
      </c>
      <c r="AL326" s="20">
        <f t="shared" si="82"/>
        <v>77</v>
      </c>
      <c r="AM326" s="20">
        <f t="shared" si="83"/>
        <v>23100000</v>
      </c>
      <c r="AN326" s="20"/>
    </row>
    <row r="327" spans="17:44">
      <c r="Q327" s="99" t="s">
        <v>4841</v>
      </c>
      <c r="R327" s="95">
        <v>890000</v>
      </c>
      <c r="T327" s="213" t="s">
        <v>5289</v>
      </c>
      <c r="U327" s="213">
        <v>20685</v>
      </c>
      <c r="V327" s="113">
        <v>483.43312200000003</v>
      </c>
      <c r="W327" s="113">
        <f t="shared" si="81"/>
        <v>9999814.1285699997</v>
      </c>
      <c r="X327" s="36" t="s">
        <v>5294</v>
      </c>
      <c r="AH327" s="20">
        <v>94</v>
      </c>
      <c r="AI327" s="20" t="s">
        <v>5129</v>
      </c>
      <c r="AJ327" s="117">
        <v>8660000</v>
      </c>
      <c r="AK327" s="20">
        <v>8</v>
      </c>
      <c r="AL327" s="20">
        <f t="shared" si="82"/>
        <v>77</v>
      </c>
      <c r="AM327" s="20">
        <f t="shared" si="83"/>
        <v>666820000</v>
      </c>
      <c r="AN327" s="20"/>
    </row>
    <row r="328" spans="17:44">
      <c r="Q328" s="99" t="s">
        <v>4861</v>
      </c>
      <c r="R328" s="95">
        <v>1000000</v>
      </c>
      <c r="T328" s="213" t="s">
        <v>5289</v>
      </c>
      <c r="U328" s="213">
        <v>-413</v>
      </c>
      <c r="V328" s="113">
        <v>483.40199999999999</v>
      </c>
      <c r="W328" s="113">
        <f t="shared" si="81"/>
        <v>-199645.02599999998</v>
      </c>
      <c r="X328" s="36" t="s">
        <v>4436</v>
      </c>
      <c r="AH328" s="149">
        <v>95</v>
      </c>
      <c r="AI328" s="149" t="s">
        <v>5193</v>
      </c>
      <c r="AJ328" s="188">
        <v>200000</v>
      </c>
      <c r="AK328" s="149">
        <v>3</v>
      </c>
      <c r="AL328" s="149">
        <f t="shared" si="82"/>
        <v>69</v>
      </c>
      <c r="AM328" s="149">
        <f t="shared" si="83"/>
        <v>13800000</v>
      </c>
      <c r="AN328" s="149"/>
    </row>
    <row r="329" spans="17:44">
      <c r="Q329" s="99" t="s">
        <v>4862</v>
      </c>
      <c r="R329" s="95">
        <v>45436311</v>
      </c>
      <c r="T329" s="213" t="s">
        <v>5289</v>
      </c>
      <c r="U329" s="213">
        <v>413</v>
      </c>
      <c r="V329" s="113">
        <v>483.40199999999999</v>
      </c>
      <c r="W329" s="113">
        <f t="shared" si="81"/>
        <v>199645.02599999998</v>
      </c>
      <c r="X329" s="36" t="s">
        <v>750</v>
      </c>
      <c r="AH329" s="149">
        <v>96</v>
      </c>
      <c r="AI329" s="149" t="s">
        <v>5198</v>
      </c>
      <c r="AJ329" s="188">
        <v>20000</v>
      </c>
      <c r="AK329" s="149">
        <v>1</v>
      </c>
      <c r="AL329" s="149">
        <f t="shared" si="82"/>
        <v>66</v>
      </c>
      <c r="AM329" s="149">
        <f t="shared" si="83"/>
        <v>1320000</v>
      </c>
      <c r="AN329" s="149"/>
    </row>
    <row r="330" spans="17:44">
      <c r="Q330" s="99" t="s">
        <v>4862</v>
      </c>
      <c r="R330" s="95">
        <v>-3500000</v>
      </c>
      <c r="T330" s="213" t="s">
        <v>5298</v>
      </c>
      <c r="U330" s="213">
        <v>-828</v>
      </c>
      <c r="V330" s="113">
        <v>483.43312200000003</v>
      </c>
      <c r="W330" s="113">
        <f t="shared" si="81"/>
        <v>-400282.62501600001</v>
      </c>
      <c r="X330" s="36" t="s">
        <v>452</v>
      </c>
      <c r="AH330" s="20">
        <v>97</v>
      </c>
      <c r="AI330" s="20" t="s">
        <v>5209</v>
      </c>
      <c r="AJ330" s="117">
        <v>14340000</v>
      </c>
      <c r="AK330" s="20">
        <v>7</v>
      </c>
      <c r="AL330" s="20">
        <f t="shared" si="82"/>
        <v>65</v>
      </c>
      <c r="AM330" s="20">
        <f t="shared" si="83"/>
        <v>932100000</v>
      </c>
      <c r="AN330" s="20"/>
    </row>
    <row r="331" spans="17:44">
      <c r="Q331" s="99" t="s">
        <v>4875</v>
      </c>
      <c r="R331" s="95">
        <v>2520000</v>
      </c>
      <c r="T331" s="213" t="s">
        <v>5304</v>
      </c>
      <c r="U331" s="213">
        <v>12</v>
      </c>
      <c r="V331" s="113">
        <v>473.61898300000001</v>
      </c>
      <c r="W331" s="113">
        <f t="shared" si="81"/>
        <v>5683.4277959999999</v>
      </c>
      <c r="X331" s="36" t="s">
        <v>452</v>
      </c>
      <c r="AH331" s="20">
        <v>98</v>
      </c>
      <c r="AI331" s="20" t="s">
        <v>5220</v>
      </c>
      <c r="AJ331" s="117">
        <v>10000000</v>
      </c>
      <c r="AK331" s="20">
        <v>6</v>
      </c>
      <c r="AL331" s="20">
        <f t="shared" si="82"/>
        <v>58</v>
      </c>
      <c r="AM331" s="20">
        <f t="shared" si="83"/>
        <v>580000000</v>
      </c>
      <c r="AN331" s="20" t="s">
        <v>4746</v>
      </c>
    </row>
    <row r="332" spans="17:44">
      <c r="Q332" s="99" t="s">
        <v>4910</v>
      </c>
      <c r="R332" s="95">
        <v>4900000</v>
      </c>
      <c r="S332" s="114"/>
      <c r="T332" s="213" t="s">
        <v>5308</v>
      </c>
      <c r="U332" s="213">
        <v>963</v>
      </c>
      <c r="V332" s="113">
        <v>477.92200000000003</v>
      </c>
      <c r="W332" s="113">
        <f t="shared" si="81"/>
        <v>460238.886</v>
      </c>
      <c r="X332" s="36" t="s">
        <v>452</v>
      </c>
      <c r="Z332" t="s">
        <v>25</v>
      </c>
      <c r="AH332" s="20">
        <v>99</v>
      </c>
      <c r="AI332" s="20" t="s">
        <v>5229</v>
      </c>
      <c r="AJ332" s="117">
        <v>4033949</v>
      </c>
      <c r="AK332" s="20">
        <v>2</v>
      </c>
      <c r="AL332" s="20">
        <f t="shared" si="82"/>
        <v>52</v>
      </c>
      <c r="AM332" s="20">
        <f t="shared" si="83"/>
        <v>209765348</v>
      </c>
      <c r="AN332" s="20" t="s">
        <v>5233</v>
      </c>
      <c r="AR332" t="s">
        <v>25</v>
      </c>
    </row>
    <row r="333" spans="17:44">
      <c r="Q333" s="99" t="s">
        <v>4931</v>
      </c>
      <c r="R333" s="95">
        <v>1150000</v>
      </c>
      <c r="T333" s="213" t="s">
        <v>5309</v>
      </c>
      <c r="U333" s="213">
        <v>2815</v>
      </c>
      <c r="V333" s="113">
        <v>461.79</v>
      </c>
      <c r="W333" s="113">
        <f t="shared" si="81"/>
        <v>1299938.8500000001</v>
      </c>
      <c r="X333" s="36" t="s">
        <v>452</v>
      </c>
      <c r="AH333" s="149">
        <v>100</v>
      </c>
      <c r="AI333" s="149" t="s">
        <v>5238</v>
      </c>
      <c r="AJ333" s="188">
        <v>11500000</v>
      </c>
      <c r="AK333" s="149">
        <v>2</v>
      </c>
      <c r="AL333" s="149">
        <f t="shared" si="82"/>
        <v>50</v>
      </c>
      <c r="AM333" s="149">
        <f t="shared" si="83"/>
        <v>575000000</v>
      </c>
      <c r="AN333" s="149" t="s">
        <v>5241</v>
      </c>
    </row>
    <row r="334" spans="17:44">
      <c r="Q334" s="99" t="s">
        <v>4882</v>
      </c>
      <c r="R334" s="95">
        <v>250000</v>
      </c>
      <c r="T334" s="213" t="s">
        <v>5309</v>
      </c>
      <c r="U334" s="213">
        <v>1581</v>
      </c>
      <c r="V334" s="113">
        <v>461.79</v>
      </c>
      <c r="W334" s="113">
        <f t="shared" si="81"/>
        <v>730089.99</v>
      </c>
      <c r="X334" s="36" t="s">
        <v>452</v>
      </c>
      <c r="AH334" s="149">
        <v>101</v>
      </c>
      <c r="AI334" s="149" t="s">
        <v>5245</v>
      </c>
      <c r="AJ334" s="188">
        <v>250000</v>
      </c>
      <c r="AK334" s="149">
        <v>3</v>
      </c>
      <c r="AL334" s="149">
        <f t="shared" si="82"/>
        <v>48</v>
      </c>
      <c r="AM334" s="149">
        <f t="shared" si="83"/>
        <v>12000000</v>
      </c>
      <c r="AN334" s="149"/>
    </row>
    <row r="335" spans="17:44">
      <c r="Q335" s="99" t="s">
        <v>4972</v>
      </c>
      <c r="R335" s="95">
        <v>1403460</v>
      </c>
      <c r="T335" s="213" t="s">
        <v>5320</v>
      </c>
      <c r="U335" s="213">
        <v>1916</v>
      </c>
      <c r="V335" s="113">
        <v>521.70000000000005</v>
      </c>
      <c r="W335" s="113">
        <f t="shared" si="81"/>
        <v>999577.20000000007</v>
      </c>
      <c r="X335" s="36" t="s">
        <v>1084</v>
      </c>
      <c r="AH335" s="149">
        <v>102</v>
      </c>
      <c r="AI335" s="149" t="s">
        <v>5273</v>
      </c>
      <c r="AJ335" s="188">
        <v>6000000</v>
      </c>
      <c r="AK335" s="149">
        <v>1</v>
      </c>
      <c r="AL335" s="149">
        <f t="shared" si="82"/>
        <v>45</v>
      </c>
      <c r="AM335" s="149">
        <f t="shared" si="83"/>
        <v>270000000</v>
      </c>
      <c r="AN335" s="149" t="s">
        <v>5241</v>
      </c>
    </row>
    <row r="336" spans="17:44">
      <c r="Q336" s="99" t="s">
        <v>4977</v>
      </c>
      <c r="R336" s="95">
        <v>200000</v>
      </c>
      <c r="T336" s="213" t="s">
        <v>990</v>
      </c>
      <c r="U336" s="213">
        <v>41</v>
      </c>
      <c r="V336" s="113">
        <v>514.48099999999999</v>
      </c>
      <c r="W336" s="113">
        <f t="shared" si="81"/>
        <v>21093.721000000001</v>
      </c>
      <c r="X336" s="36" t="s">
        <v>5285</v>
      </c>
      <c r="AH336" s="149">
        <v>103</v>
      </c>
      <c r="AI336" s="149" t="s">
        <v>5278</v>
      </c>
      <c r="AJ336" s="188">
        <v>1500000</v>
      </c>
      <c r="AK336" s="149">
        <v>6</v>
      </c>
      <c r="AL336" s="149">
        <f t="shared" si="82"/>
        <v>44</v>
      </c>
      <c r="AM336" s="149">
        <f t="shared" si="83"/>
        <v>66000000</v>
      </c>
      <c r="AN336" s="149" t="s">
        <v>5241</v>
      </c>
      <c r="AR336" t="s">
        <v>25</v>
      </c>
    </row>
    <row r="337" spans="17:46">
      <c r="Q337" s="99" t="s">
        <v>4983</v>
      </c>
      <c r="R337" s="95">
        <v>345000</v>
      </c>
      <c r="T337" s="213" t="s">
        <v>4272</v>
      </c>
      <c r="U337" s="213">
        <v>71</v>
      </c>
      <c r="V337" s="113">
        <v>482.57</v>
      </c>
      <c r="W337" s="113">
        <f t="shared" si="81"/>
        <v>34262.47</v>
      </c>
      <c r="X337" s="36" t="s">
        <v>5285</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5347</v>
      </c>
      <c r="U338" s="213">
        <v>-250</v>
      </c>
      <c r="V338" s="113">
        <v>487.125</v>
      </c>
      <c r="W338" s="113">
        <f t="shared" si="81"/>
        <v>-121781.25</v>
      </c>
      <c r="X338" s="36" t="s">
        <v>4436</v>
      </c>
      <c r="AH338" s="20">
        <v>105</v>
      </c>
      <c r="AI338" s="20" t="s">
        <v>5308</v>
      </c>
      <c r="AJ338" s="117">
        <v>230000</v>
      </c>
      <c r="AK338" s="20">
        <v>0</v>
      </c>
      <c r="AL338" s="20">
        <f t="shared" si="82"/>
        <v>36</v>
      </c>
      <c r="AM338" s="20">
        <f t="shared" si="83"/>
        <v>8280000</v>
      </c>
      <c r="AN338" s="20"/>
      <c r="AR338" t="s">
        <v>25</v>
      </c>
      <c r="AT338" s="96" t="s">
        <v>25</v>
      </c>
    </row>
    <row r="339" spans="17:46">
      <c r="Q339" s="99" t="s">
        <v>4992</v>
      </c>
      <c r="R339" s="95">
        <v>372517</v>
      </c>
      <c r="T339" s="213" t="s">
        <v>5347</v>
      </c>
      <c r="U339" s="213">
        <v>250</v>
      </c>
      <c r="V339" s="113">
        <v>487.125</v>
      </c>
      <c r="W339" s="113">
        <f t="shared" si="81"/>
        <v>121781.25</v>
      </c>
      <c r="X339" s="36" t="s">
        <v>750</v>
      </c>
      <c r="AH339" s="149">
        <v>106</v>
      </c>
      <c r="AI339" s="149" t="s">
        <v>5308</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5358</v>
      </c>
      <c r="U340" s="213">
        <v>-1439</v>
      </c>
      <c r="V340" s="113">
        <v>486.53068999999999</v>
      </c>
      <c r="W340" s="113">
        <f t="shared" si="81"/>
        <v>-700117.66290999996</v>
      </c>
      <c r="X340" s="36" t="s">
        <v>4436</v>
      </c>
      <c r="AH340" s="149">
        <v>107</v>
      </c>
      <c r="AI340" s="149" t="s">
        <v>5309</v>
      </c>
      <c r="AJ340" s="188">
        <v>500000</v>
      </c>
      <c r="AK340" s="149">
        <v>1</v>
      </c>
      <c r="AL340" s="149">
        <f t="shared" si="84"/>
        <v>35</v>
      </c>
      <c r="AM340" s="149">
        <f t="shared" si="85"/>
        <v>17500000</v>
      </c>
      <c r="AN340" s="149"/>
    </row>
    <row r="341" spans="17:46">
      <c r="Q341" s="99" t="s">
        <v>5056</v>
      </c>
      <c r="R341" s="95">
        <v>618000</v>
      </c>
      <c r="T341" s="213" t="s">
        <v>5358</v>
      </c>
      <c r="U341" s="213">
        <v>411</v>
      </c>
      <c r="V341" s="113">
        <v>486.53068999999999</v>
      </c>
      <c r="W341" s="113">
        <f t="shared" si="81"/>
        <v>199964.11358999999</v>
      </c>
      <c r="X341" s="36" t="s">
        <v>750</v>
      </c>
      <c r="AH341" s="20">
        <v>108</v>
      </c>
      <c r="AI341" s="20" t="s">
        <v>5315</v>
      </c>
      <c r="AJ341" s="117">
        <v>-880000</v>
      </c>
      <c r="AK341" s="20">
        <v>4</v>
      </c>
      <c r="AL341" s="20">
        <f t="shared" si="84"/>
        <v>34</v>
      </c>
      <c r="AM341" s="20">
        <f t="shared" si="85"/>
        <v>-29920000</v>
      </c>
      <c r="AN341" s="20"/>
    </row>
    <row r="342" spans="17:46">
      <c r="Q342" s="99" t="s">
        <v>5070</v>
      </c>
      <c r="R342" s="95">
        <v>20105000</v>
      </c>
      <c r="T342" s="213" t="s">
        <v>5307</v>
      </c>
      <c r="U342" s="213">
        <v>-4290</v>
      </c>
      <c r="V342" s="113">
        <v>497.57670000000002</v>
      </c>
      <c r="W342" s="113">
        <f t="shared" si="81"/>
        <v>-2134604.0430000001</v>
      </c>
      <c r="X342" s="36" t="s">
        <v>452</v>
      </c>
      <c r="AH342" s="195">
        <v>109</v>
      </c>
      <c r="AI342" s="195" t="s">
        <v>5320</v>
      </c>
      <c r="AJ342" s="196">
        <v>873000</v>
      </c>
      <c r="AK342" s="195">
        <v>0</v>
      </c>
      <c r="AL342" s="195">
        <f t="shared" si="84"/>
        <v>30</v>
      </c>
      <c r="AM342" s="195">
        <f t="shared" si="85"/>
        <v>26190000</v>
      </c>
      <c r="AN342" s="195" t="s">
        <v>5241</v>
      </c>
    </row>
    <row r="343" spans="17:46">
      <c r="Q343" s="99" t="s">
        <v>5075</v>
      </c>
      <c r="R343" s="95">
        <v>-21079990</v>
      </c>
      <c r="T343" s="213" t="s">
        <v>5371</v>
      </c>
      <c r="U343" s="213">
        <v>-644</v>
      </c>
      <c r="V343" s="113">
        <v>494.76464499999997</v>
      </c>
      <c r="W343" s="113">
        <f t="shared" si="81"/>
        <v>-318628.43137999997</v>
      </c>
      <c r="X343" s="36" t="s">
        <v>452</v>
      </c>
      <c r="AH343" s="20">
        <v>110</v>
      </c>
      <c r="AI343" s="20" t="s">
        <v>5320</v>
      </c>
      <c r="AJ343" s="117">
        <v>127000</v>
      </c>
      <c r="AK343" s="20">
        <v>0</v>
      </c>
      <c r="AL343" s="20">
        <f t="shared" si="84"/>
        <v>30</v>
      </c>
      <c r="AM343" s="20">
        <f t="shared" si="85"/>
        <v>3810000</v>
      </c>
      <c r="AN343" s="20" t="s">
        <v>5241</v>
      </c>
    </row>
    <row r="344" spans="17:46">
      <c r="Q344" s="99" t="s">
        <v>5076</v>
      </c>
      <c r="R344" s="95">
        <v>-5949277</v>
      </c>
      <c r="T344" s="213" t="s">
        <v>5375</v>
      </c>
      <c r="U344" s="213">
        <v>-112</v>
      </c>
      <c r="V344" s="113">
        <v>485.78</v>
      </c>
      <c r="W344" s="113">
        <f t="shared" si="81"/>
        <v>-54407.360000000001</v>
      </c>
      <c r="X344" s="36" t="s">
        <v>452</v>
      </c>
      <c r="AH344" s="20">
        <v>111</v>
      </c>
      <c r="AI344" s="20" t="s">
        <v>5320</v>
      </c>
      <c r="AJ344" s="117">
        <v>73000</v>
      </c>
      <c r="AK344" s="20">
        <v>1</v>
      </c>
      <c r="AL344" s="20">
        <f t="shared" ref="AL344:AL348" si="86">AK344+AL345</f>
        <v>30</v>
      </c>
      <c r="AM344" s="20">
        <f t="shared" ref="AM344:AM348" si="87">AJ344*AL344</f>
        <v>2190000</v>
      </c>
      <c r="AN344" s="20"/>
    </row>
    <row r="345" spans="17:46">
      <c r="Q345" s="99" t="s">
        <v>5083</v>
      </c>
      <c r="R345" s="95">
        <v>-15370656</v>
      </c>
      <c r="T345" s="213" t="s">
        <v>5375</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5375</v>
      </c>
      <c r="U346" s="213">
        <v>-123</v>
      </c>
      <c r="V346" s="113">
        <v>485.78</v>
      </c>
      <c r="W346" s="113">
        <f t="shared" si="81"/>
        <v>-59750.939999999995</v>
      </c>
      <c r="X346" s="36" t="s">
        <v>4436</v>
      </c>
      <c r="AA346" t="s">
        <v>25</v>
      </c>
      <c r="AH346" s="20">
        <v>113</v>
      </c>
      <c r="AI346" s="20" t="s">
        <v>5146</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5333</v>
      </c>
    </row>
    <row r="348" spans="17:46">
      <c r="Q348" s="99" t="s">
        <v>5099</v>
      </c>
      <c r="R348" s="95">
        <v>-40570100</v>
      </c>
      <c r="T348" s="168"/>
      <c r="U348" s="168">
        <f>SUM(U208:U347)</f>
        <v>3653717</v>
      </c>
      <c r="V348" s="99"/>
      <c r="W348" s="99"/>
      <c r="X348" s="99"/>
      <c r="AH348" s="20">
        <v>115</v>
      </c>
      <c r="AI348" s="20" t="s">
        <v>5332</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5337</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5347</v>
      </c>
      <c r="AJ350" s="188">
        <v>50000</v>
      </c>
      <c r="AK350" s="149">
        <v>7</v>
      </c>
      <c r="AL350" s="149">
        <f t="shared" si="88"/>
        <v>20</v>
      </c>
      <c r="AM350" s="149">
        <f t="shared" si="89"/>
        <v>1000000</v>
      </c>
      <c r="AN350" s="149"/>
    </row>
    <row r="351" spans="17:46">
      <c r="Q351" s="99" t="s">
        <v>5123</v>
      </c>
      <c r="R351" s="95">
        <v>120000</v>
      </c>
      <c r="T351" s="199">
        <f>R221/U348</f>
        <v>543.33248231869084</v>
      </c>
      <c r="AH351" s="20">
        <v>118</v>
      </c>
      <c r="AI351" s="20" t="s">
        <v>5358</v>
      </c>
      <c r="AJ351" s="117">
        <v>-500000</v>
      </c>
      <c r="AK351" s="20">
        <v>12</v>
      </c>
      <c r="AL351" s="20">
        <f t="shared" si="88"/>
        <v>13</v>
      </c>
      <c r="AM351" s="20">
        <f t="shared" si="89"/>
        <v>-6500000</v>
      </c>
      <c r="AN351" s="20"/>
    </row>
    <row r="352" spans="17:46">
      <c r="Q352" s="99" t="s">
        <v>5142</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5158</v>
      </c>
      <c r="R354" s="95">
        <v>65000</v>
      </c>
      <c r="T354" s="114"/>
      <c r="U354" s="113">
        <v>60000</v>
      </c>
      <c r="V354">
        <f>U354/T351</f>
        <v>110.42962081697721</v>
      </c>
      <c r="X354" t="s">
        <v>25</v>
      </c>
      <c r="AH354" s="20"/>
      <c r="AI354" s="20"/>
      <c r="AJ354" s="117"/>
      <c r="AK354" s="20"/>
      <c r="AL354" s="20">
        <f t="shared" si="88"/>
        <v>0</v>
      </c>
      <c r="AM354" s="20">
        <f t="shared" si="89"/>
        <v>0</v>
      </c>
      <c r="AN354" s="20"/>
    </row>
    <row r="355" spans="17:45">
      <c r="Q355" s="99" t="s">
        <v>5166</v>
      </c>
      <c r="R355" s="95">
        <v>-14053702</v>
      </c>
      <c r="X355" t="s">
        <v>25</v>
      </c>
      <c r="AH355" s="20"/>
      <c r="AI355" s="20"/>
      <c r="AJ355" s="117"/>
      <c r="AK355" s="20"/>
      <c r="AL355" s="20">
        <f t="shared" si="88"/>
        <v>0</v>
      </c>
      <c r="AM355" s="20">
        <f t="shared" si="89"/>
        <v>0</v>
      </c>
      <c r="AN355" s="20"/>
    </row>
    <row r="356" spans="17:45" ht="30">
      <c r="Q356" s="99" t="s">
        <v>5129</v>
      </c>
      <c r="R356" s="95">
        <v>3555678</v>
      </c>
      <c r="V356" s="22" t="s">
        <v>5319</v>
      </c>
      <c r="W356" s="223"/>
      <c r="X356" s="96" t="s">
        <v>25</v>
      </c>
      <c r="Y356" t="s">
        <v>25</v>
      </c>
      <c r="AH356" s="20"/>
      <c r="AI356" s="20"/>
      <c r="AJ356" s="117"/>
      <c r="AK356" s="20"/>
      <c r="AL356" s="20">
        <f t="shared" si="88"/>
        <v>0</v>
      </c>
      <c r="AM356" s="20">
        <f t="shared" si="89"/>
        <v>0</v>
      </c>
      <c r="AN356" s="20"/>
    </row>
    <row r="357" spans="17:45">
      <c r="Q357" s="99" t="s">
        <v>5211</v>
      </c>
      <c r="R357" s="95">
        <v>3495</v>
      </c>
      <c r="W357" s="96" t="s">
        <v>25</v>
      </c>
      <c r="X357" t="s">
        <v>25</v>
      </c>
      <c r="Y357" t="s">
        <v>25</v>
      </c>
      <c r="AH357" s="20"/>
      <c r="AI357" s="20"/>
      <c r="AJ357" s="117"/>
      <c r="AK357" s="20"/>
      <c r="AL357" s="20">
        <f t="shared" si="88"/>
        <v>0</v>
      </c>
      <c r="AM357" s="20">
        <f t="shared" si="89"/>
        <v>0</v>
      </c>
      <c r="AN357" s="20"/>
    </row>
    <row r="358" spans="17:45">
      <c r="Q358" s="99" t="s">
        <v>5220</v>
      </c>
      <c r="R358" s="95">
        <v>6000000</v>
      </c>
      <c r="X358" t="s">
        <v>25</v>
      </c>
      <c r="AH358" s="20"/>
      <c r="AI358" s="20"/>
      <c r="AJ358" s="117"/>
      <c r="AK358" s="20"/>
      <c r="AL358" s="20">
        <f t="shared" si="88"/>
        <v>0</v>
      </c>
      <c r="AM358" s="20">
        <f t="shared" si="89"/>
        <v>0</v>
      </c>
      <c r="AN358" s="20"/>
      <c r="AS358" t="s">
        <v>25</v>
      </c>
    </row>
    <row r="359" spans="17:45" ht="60">
      <c r="Q359" s="99" t="s">
        <v>5226</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5227</v>
      </c>
      <c r="R360" s="95">
        <v>8249</v>
      </c>
      <c r="T360" s="22" t="s">
        <v>4457</v>
      </c>
      <c r="Y360" t="s">
        <v>25</v>
      </c>
      <c r="AH360" s="20"/>
      <c r="AI360" s="20"/>
      <c r="AJ360" s="117"/>
      <c r="AK360" s="20"/>
      <c r="AL360" s="20">
        <f t="shared" si="88"/>
        <v>0</v>
      </c>
      <c r="AM360" s="20">
        <f t="shared" si="89"/>
        <v>0</v>
      </c>
      <c r="AN360" s="20"/>
    </row>
    <row r="361" spans="17:45">
      <c r="Q361" s="99" t="s">
        <v>5229</v>
      </c>
      <c r="R361" s="95">
        <v>6937</v>
      </c>
      <c r="AH361" s="20"/>
      <c r="AI361" s="20"/>
      <c r="AJ361" s="117"/>
      <c r="AK361" s="20"/>
      <c r="AL361" s="20">
        <f t="shared" si="88"/>
        <v>0</v>
      </c>
      <c r="AM361" s="20">
        <f t="shared" si="89"/>
        <v>0</v>
      </c>
      <c r="AN361" s="20"/>
    </row>
    <row r="362" spans="17:45">
      <c r="Q362" s="99" t="s">
        <v>5229</v>
      </c>
      <c r="R362" s="95">
        <v>4046552</v>
      </c>
      <c r="AH362" s="99"/>
      <c r="AI362" s="99"/>
      <c r="AJ362" s="117"/>
      <c r="AK362" s="99"/>
      <c r="AL362" s="20">
        <f t="shared" si="88"/>
        <v>0</v>
      </c>
      <c r="AM362" s="20">
        <f t="shared" si="89"/>
        <v>0</v>
      </c>
      <c r="AN362" s="20"/>
    </row>
    <row r="363" spans="17:45">
      <c r="Q363" s="99" t="s">
        <v>5234</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5245</v>
      </c>
      <c r="R364" s="95">
        <v>6022</v>
      </c>
      <c r="T364" s="95">
        <f>S250+R297+R380</f>
        <v>928559366</v>
      </c>
      <c r="U364" s="95">
        <f>R221</f>
        <v>1985183127.3</v>
      </c>
      <c r="V364" s="95">
        <f>U364-T364</f>
        <v>1056623761.3</v>
      </c>
      <c r="AH364" s="99"/>
      <c r="AI364" s="99"/>
      <c r="AJ364" s="95">
        <f>SUM(AJ234:AJ363)</f>
        <v>452087852</v>
      </c>
      <c r="AK364" s="99"/>
      <c r="AL364" s="99"/>
      <c r="AM364" s="99">
        <f>SUM(AM234:AM363)</f>
        <v>102639595731</v>
      </c>
      <c r="AN364" s="95">
        <f>AM364*AN220/31</f>
        <v>55183682.001566999</v>
      </c>
    </row>
    <row r="365" spans="17:45">
      <c r="Q365" s="99" t="s">
        <v>5278</v>
      </c>
      <c r="R365" s="95">
        <v>400000</v>
      </c>
      <c r="AJ365" t="s">
        <v>4056</v>
      </c>
      <c r="AM365" t="s">
        <v>284</v>
      </c>
      <c r="AN365" t="s">
        <v>941</v>
      </c>
    </row>
    <row r="366" spans="17:45">
      <c r="Q366" s="99" t="s">
        <v>5284</v>
      </c>
      <c r="R366" s="95">
        <v>92847</v>
      </c>
    </row>
    <row r="367" spans="17:45">
      <c r="Q367" s="99" t="s">
        <v>5284</v>
      </c>
      <c r="R367" s="95">
        <v>-100000</v>
      </c>
      <c r="AI367" t="s">
        <v>4058</v>
      </c>
      <c r="AJ367" s="114">
        <f>AJ364+AN364</f>
        <v>507271534.00156701</v>
      </c>
    </row>
    <row r="368" spans="17:45">
      <c r="Q368" s="99" t="s">
        <v>5289</v>
      </c>
      <c r="R368" s="95">
        <v>10000000</v>
      </c>
      <c r="AI368" t="s">
        <v>4061</v>
      </c>
      <c r="AJ368" s="114">
        <f>SUM(N20:N31)</f>
        <v>850751241.9000001</v>
      </c>
    </row>
    <row r="369" spans="17:40">
      <c r="Q369" s="99" t="s">
        <v>5298</v>
      </c>
      <c r="R369" s="95">
        <v>-400000</v>
      </c>
      <c r="T369" t="s">
        <v>25</v>
      </c>
      <c r="AI369" t="s">
        <v>4133</v>
      </c>
      <c r="AJ369" s="114">
        <f>AJ368-AJ364</f>
        <v>398663389.9000001</v>
      </c>
    </row>
    <row r="370" spans="17:40">
      <c r="Q370" s="99" t="s">
        <v>5306</v>
      </c>
      <c r="R370" s="95">
        <v>5649</v>
      </c>
      <c r="T370" t="s">
        <v>25</v>
      </c>
      <c r="AI370" t="s">
        <v>941</v>
      </c>
      <c r="AJ370" s="114">
        <f>AN364</f>
        <v>55183682.001566999</v>
      </c>
    </row>
    <row r="371" spans="17:40">
      <c r="Q371" s="99" t="s">
        <v>5308</v>
      </c>
      <c r="R371" s="95">
        <v>460000</v>
      </c>
      <c r="AI371" t="s">
        <v>4062</v>
      </c>
      <c r="AJ371" s="114">
        <f>AJ369-AJ370</f>
        <v>343479707.89843309</v>
      </c>
      <c r="AM371" t="s">
        <v>25</v>
      </c>
      <c r="AN371" t="s">
        <v>25</v>
      </c>
    </row>
    <row r="372" spans="17:40">
      <c r="Q372" s="99" t="s">
        <v>5309</v>
      </c>
      <c r="R372" s="95">
        <v>1300000</v>
      </c>
      <c r="T372" t="s">
        <v>25</v>
      </c>
      <c r="AN372" t="s">
        <v>25</v>
      </c>
    </row>
    <row r="373" spans="17:40">
      <c r="Q373" s="99" t="s">
        <v>5309</v>
      </c>
      <c r="R373" s="95">
        <v>7300000</v>
      </c>
      <c r="T373" t="s">
        <v>25</v>
      </c>
    </row>
    <row r="374" spans="17:40">
      <c r="Q374" s="99" t="s">
        <v>990</v>
      </c>
      <c r="R374" s="95">
        <v>21203</v>
      </c>
    </row>
    <row r="375" spans="17:40">
      <c r="Q375" s="99" t="s">
        <v>4272</v>
      </c>
      <c r="R375" s="95">
        <v>34550</v>
      </c>
      <c r="AN375" t="s">
        <v>25</v>
      </c>
    </row>
    <row r="376" spans="17:40">
      <c r="Q376" s="99" t="s">
        <v>5307</v>
      </c>
      <c r="R376" s="95">
        <v>-2134406</v>
      </c>
      <c r="T376" t="s">
        <v>25</v>
      </c>
      <c r="AN376" t="s">
        <v>25</v>
      </c>
    </row>
    <row r="377" spans="17:40">
      <c r="Q377" s="99" t="s">
        <v>5371</v>
      </c>
      <c r="R377" s="95">
        <v>-618906</v>
      </c>
      <c r="T377" t="s">
        <v>25</v>
      </c>
    </row>
    <row r="378" spans="17:40">
      <c r="Q378" s="99" t="s">
        <v>5375</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5 S32 G119 S142 S151 S92 S157 S159 P25 S46:S47 M105 S49 P29 S62:S63 P23 S179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opLeftCell="J236" zoomScale="90" zoomScaleNormal="90" workbookViewId="0">
      <selection activeCell="R258" sqref="R25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5403</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213" t="s">
        <v>5416</v>
      </c>
      <c r="J247" s="113">
        <f t="shared" si="58"/>
        <v>57939414</v>
      </c>
      <c r="K247" s="213" t="s">
        <v>5415</v>
      </c>
      <c r="L247" s="84">
        <v>1056526623</v>
      </c>
      <c r="M247" s="84">
        <v>660656770</v>
      </c>
      <c r="N247" s="220">
        <f t="shared" si="59"/>
        <v>1717183393</v>
      </c>
      <c r="O247" s="113">
        <f>M247-M246+3020635</f>
        <v>34687945</v>
      </c>
      <c r="P247" s="113">
        <f>N247-N246+3020635</f>
        <v>92627359</v>
      </c>
      <c r="Q247" s="229">
        <v>-3020635</v>
      </c>
    </row>
    <row r="248" spans="9:19">
      <c r="I248" s="213"/>
      <c r="J248" s="113">
        <f t="shared" si="58"/>
        <v>8473377</v>
      </c>
      <c r="K248" s="213" t="s">
        <v>5420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5424</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5425</v>
      </c>
      <c r="L253" s="84">
        <v>1113880810</v>
      </c>
      <c r="M253" s="84">
        <v>698734609</v>
      </c>
      <c r="N253" s="35">
        <f t="shared" ref="N253:N268" si="63">L253+M253</f>
        <v>1812615419</v>
      </c>
      <c r="O253" s="113">
        <f t="shared" ref="O253:O268" si="64">M253-M252</f>
        <v>6329497</v>
      </c>
      <c r="P253" s="113">
        <f t="shared" ref="P253:P268" si="65">N253-N252</f>
        <v>13321203</v>
      </c>
      <c r="Q253" s="229">
        <v>0</v>
      </c>
    </row>
    <row r="254" spans="9:19">
      <c r="I254" s="213"/>
      <c r="J254" s="113">
        <f t="shared" si="62"/>
        <v>-1113880810</v>
      </c>
      <c r="K254" s="213"/>
      <c r="L254" s="84"/>
      <c r="M254" s="84"/>
      <c r="N254" s="113">
        <f t="shared" si="63"/>
        <v>0</v>
      </c>
      <c r="O254" s="113">
        <f t="shared" si="64"/>
        <v>-698734609</v>
      </c>
      <c r="P254" s="113">
        <f t="shared" si="65"/>
        <v>-1812615419</v>
      </c>
    </row>
    <row r="255" spans="9:19">
      <c r="I255" s="213"/>
      <c r="J255" s="113">
        <f t="shared" si="62"/>
        <v>0</v>
      </c>
      <c r="K255" s="213"/>
      <c r="L255" s="84"/>
      <c r="M255" s="84"/>
      <c r="N255" s="113">
        <f t="shared" si="63"/>
        <v>0</v>
      </c>
      <c r="O255" s="113">
        <f t="shared" si="64"/>
        <v>0</v>
      </c>
      <c r="P255" s="113">
        <f t="shared" si="65"/>
        <v>0</v>
      </c>
    </row>
    <row r="256" spans="9:19">
      <c r="I256" s="213"/>
      <c r="J256" s="113">
        <f t="shared" si="62"/>
        <v>0</v>
      </c>
      <c r="K256" s="213"/>
      <c r="L256" s="84"/>
      <c r="M256" s="84"/>
      <c r="N256" s="113">
        <f t="shared" si="63"/>
        <v>0</v>
      </c>
      <c r="O256" s="113">
        <f t="shared" si="64"/>
        <v>0</v>
      </c>
      <c r="P256" s="113">
        <f t="shared" si="65"/>
        <v>0</v>
      </c>
    </row>
    <row r="257" spans="9:19">
      <c r="I257" s="213"/>
      <c r="J257" s="113">
        <f t="shared" si="62"/>
        <v>0</v>
      </c>
      <c r="K257" s="213"/>
      <c r="L257" s="84"/>
      <c r="M257" s="84"/>
      <c r="N257" s="113">
        <f t="shared" si="63"/>
        <v>0</v>
      </c>
      <c r="O257" s="113">
        <f t="shared" si="64"/>
        <v>0</v>
      </c>
      <c r="P257" s="113">
        <f t="shared" si="65"/>
        <v>0</v>
      </c>
    </row>
    <row r="258" spans="9:19">
      <c r="I258" s="213"/>
      <c r="J258" s="113">
        <f t="shared" si="62"/>
        <v>0</v>
      </c>
      <c r="K258" s="213"/>
      <c r="L258" s="84"/>
      <c r="M258" s="84"/>
      <c r="N258" s="113">
        <f t="shared" si="63"/>
        <v>0</v>
      </c>
      <c r="O258" s="113">
        <f t="shared" si="64"/>
        <v>0</v>
      </c>
      <c r="P258" s="113">
        <f t="shared" si="65"/>
        <v>0</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5187</v>
      </c>
      <c r="X22" s="41">
        <v>9909620343</v>
      </c>
      <c r="Y22" s="41">
        <v>100</v>
      </c>
      <c r="Z22" s="41"/>
    </row>
    <row r="23" spans="5:35" ht="15.75">
      <c r="O23" s="178"/>
      <c r="P23" s="99" t="s">
        <v>4083</v>
      </c>
      <c r="Q23" s="285" t="s">
        <v>1087</v>
      </c>
      <c r="R23" s="286" t="s">
        <v>1088</v>
      </c>
      <c r="S23" s="285" t="s">
        <v>1089</v>
      </c>
      <c r="T23" s="287" t="s">
        <v>1090</v>
      </c>
      <c r="W23" s="41" t="s">
        <v>5188</v>
      </c>
      <c r="X23" s="41">
        <v>9378807702</v>
      </c>
      <c r="Y23" s="41">
        <v>0</v>
      </c>
      <c r="Z23" s="41"/>
      <c r="AD23" t="s">
        <v>25</v>
      </c>
    </row>
    <row r="24" spans="5:35">
      <c r="O24" s="99"/>
      <c r="P24" s="99"/>
      <c r="Q24" s="285"/>
      <c r="R24" s="286"/>
      <c r="S24" s="285"/>
      <c r="T24" s="287"/>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2019-12-23T09:28:23Z</dcterms:modified>
</cp:coreProperties>
</file>