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72" i="52" l="1"/>
  <c r="D320" i="20" l="1"/>
  <c r="D319" i="20"/>
  <c r="L36" i="18" l="1"/>
  <c r="D318" i="20"/>
  <c r="D317" i="20"/>
  <c r="P69" i="52" l="1"/>
  <c r="P70" i="52"/>
  <c r="P71" i="52"/>
  <c r="P72" i="52"/>
  <c r="P73" i="52"/>
  <c r="P74" i="52"/>
  <c r="P75" i="52"/>
  <c r="P76" i="52"/>
  <c r="P68" i="52"/>
  <c r="V132" i="18"/>
  <c r="W132" i="18" s="1"/>
  <c r="S132" i="18"/>
  <c r="S131" i="18"/>
  <c r="X132" i="18" l="1"/>
  <c r="P147" i="18"/>
  <c r="W204" i="18"/>
  <c r="W203" i="18"/>
  <c r="G122" i="18"/>
  <c r="G121" i="18"/>
  <c r="G120" i="18"/>
  <c r="G119" i="18"/>
  <c r="J122" i="18"/>
  <c r="J121" i="18"/>
  <c r="J120" i="18"/>
  <c r="J119" i="18"/>
  <c r="J123" i="18" l="1"/>
  <c r="Z40" i="52"/>
  <c r="Z39" i="52"/>
  <c r="Z38" i="52"/>
  <c r="AD38" i="52"/>
  <c r="AD39" i="52"/>
  <c r="AD40" i="52"/>
  <c r="AE40" i="52"/>
  <c r="AE39" i="52"/>
  <c r="AE38" i="52"/>
  <c r="R165" i="18" l="1"/>
  <c r="R187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202" i="18" l="1"/>
  <c r="W201" i="18"/>
  <c r="Y214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5" i="18" l="1"/>
  <c r="R240" i="18"/>
  <c r="W200" i="18"/>
  <c r="W199" i="18"/>
  <c r="N34" i="52"/>
  <c r="N33" i="52"/>
  <c r="P42" i="52"/>
  <c r="X214" i="18"/>
  <c r="AR14" i="18" l="1"/>
  <c r="D316" i="20" l="1"/>
  <c r="D2" i="57" l="1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H33" i="57" l="1"/>
  <c r="G33" i="57"/>
  <c r="D315" i="20"/>
  <c r="D314" i="20"/>
  <c r="H38" i="57" l="1"/>
  <c r="I2" i="57"/>
  <c r="I33" i="57" s="1"/>
  <c r="I38" i="57" s="1"/>
  <c r="D32" i="57"/>
  <c r="M41" i="52"/>
  <c r="Z26" i="52"/>
  <c r="AD32" i="52"/>
  <c r="Z32" i="52"/>
  <c r="AE32" i="52"/>
  <c r="W198" i="18" l="1"/>
  <c r="W19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6" i="18"/>
  <c r="W196" i="18"/>
  <c r="W195" i="18"/>
  <c r="N30" i="52"/>
  <c r="N29" i="52"/>
  <c r="AD27" i="52"/>
  <c r="Z27" i="52"/>
  <c r="AE27" i="52"/>
  <c r="AM202" i="18" l="1"/>
  <c r="W194" i="18"/>
  <c r="W193" i="18"/>
  <c r="L47" i="52"/>
  <c r="N28" i="52"/>
  <c r="N27" i="52"/>
  <c r="AD26" i="52" l="1"/>
  <c r="AE26" i="52"/>
  <c r="N38" i="18"/>
  <c r="D313" i="20" l="1"/>
  <c r="L112" i="18" l="1"/>
  <c r="M112" i="18" l="1"/>
  <c r="L103" i="18"/>
  <c r="W192" i="18"/>
  <c r="W191" i="18"/>
  <c r="AJ148" i="18"/>
  <c r="N24" i="52"/>
  <c r="N26" i="52"/>
  <c r="N25" i="52"/>
  <c r="T222" i="18" l="1"/>
  <c r="N64" i="18"/>
  <c r="K111" i="18"/>
  <c r="L105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90" i="18"/>
  <c r="W189" i="18"/>
  <c r="N23" i="52"/>
  <c r="N22" i="52"/>
  <c r="Z24" i="52"/>
  <c r="AD24" i="52"/>
  <c r="AE24" i="52"/>
  <c r="K324" i="20" l="1"/>
  <c r="J324" i="20"/>
  <c r="G323" i="20"/>
  <c r="I324" i="20"/>
  <c r="AL198" i="18"/>
  <c r="W188" i="18"/>
  <c r="W18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6" i="18"/>
  <c r="W18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4" i="18"/>
  <c r="W18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82" i="18"/>
  <c r="W181" i="18"/>
  <c r="D303" i="20"/>
  <c r="D302" i="20"/>
  <c r="W18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7" i="18" l="1"/>
  <c r="W176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5" i="18"/>
  <c r="W174" i="18"/>
  <c r="H38" i="55" l="1"/>
  <c r="I2" i="55"/>
  <c r="I33" i="55" s="1"/>
  <c r="I38" i="55" s="1"/>
  <c r="D32" i="55"/>
  <c r="D293" i="20"/>
  <c r="W173" i="18" l="1"/>
  <c r="N50" i="18"/>
  <c r="M107" i="18" s="1"/>
  <c r="N53" i="18"/>
  <c r="N107" i="18" l="1"/>
  <c r="D292" i="20"/>
  <c r="C8" i="36"/>
  <c r="W17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2" i="18"/>
  <c r="D281" i="20" l="1"/>
  <c r="D280" i="20" l="1"/>
  <c r="AD5" i="52" l="1"/>
  <c r="B38" i="52"/>
  <c r="D279" i="20"/>
  <c r="W147" i="18" l="1"/>
  <c r="W170" i="18"/>
  <c r="D278" i="20"/>
  <c r="W149" i="18" l="1"/>
  <c r="W14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2" i="18"/>
  <c r="S14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9" i="18"/>
  <c r="N120" i="18"/>
  <c r="N121" i="18"/>
  <c r="N122" i="18"/>
  <c r="N123" i="18"/>
  <c r="N124" i="18"/>
  <c r="N125" i="18"/>
  <c r="N126" i="18"/>
  <c r="N118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8" i="18"/>
  <c r="AM124" i="18" l="1"/>
  <c r="AL123" i="18"/>
  <c r="AM123" i="18" l="1"/>
  <c r="AL122" i="18"/>
  <c r="AL121" i="18" l="1"/>
  <c r="AM122" i="18"/>
  <c r="W162" i="18"/>
  <c r="W163" i="18"/>
  <c r="W164" i="18"/>
  <c r="W165" i="18"/>
  <c r="W166" i="18"/>
  <c r="W167" i="18"/>
  <c r="W179" i="18"/>
  <c r="W161" i="18"/>
  <c r="AM121" i="18" l="1"/>
  <c r="AL120" i="18"/>
  <c r="N55" i="18"/>
  <c r="AM120" i="18" l="1"/>
  <c r="AL119" i="18"/>
  <c r="AM119" i="18" l="1"/>
  <c r="AL118" i="18"/>
  <c r="T145" i="18"/>
  <c r="S52" i="18"/>
  <c r="S53" i="18" s="1"/>
  <c r="S54" i="18" s="1"/>
  <c r="R166" i="18"/>
  <c r="R164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3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2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7" i="18" s="1"/>
  <c r="R161" i="18" l="1"/>
  <c r="R171" i="18" s="1"/>
  <c r="M103" i="18"/>
  <c r="N103" i="18" s="1"/>
  <c r="N112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2" i="18" l="1"/>
  <c r="T209" i="18"/>
  <c r="G304" i="20"/>
  <c r="I305" i="20"/>
  <c r="K305" i="20"/>
  <c r="J305" i="20"/>
  <c r="S112" i="18"/>
  <c r="S113" i="18" s="1"/>
  <c r="AL73" i="18"/>
  <c r="AM74" i="18"/>
  <c r="N86" i="18"/>
  <c r="V45" i="18" l="1"/>
  <c r="V44" i="18"/>
  <c r="V43" i="18"/>
  <c r="V39" i="18"/>
  <c r="X39" i="18" s="1"/>
  <c r="V42" i="18"/>
  <c r="V41" i="18"/>
  <c r="V40" i="18"/>
  <c r="W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2" i="18"/>
  <c r="V222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6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X43" i="18" l="1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9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6" i="18"/>
  <c r="X136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8" i="18"/>
  <c r="N34" i="18" s="1"/>
  <c r="S147" i="18"/>
  <c r="U147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9" i="18"/>
  <c r="L21" i="18"/>
  <c r="G301" i="20"/>
  <c r="I302" i="20"/>
  <c r="K302" i="20"/>
  <c r="J302" i="20"/>
  <c r="U148" i="18"/>
  <c r="V148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W120" i="18"/>
  <c r="X120" i="18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S127" i="18"/>
  <c r="X125" i="18"/>
  <c r="W125" i="18"/>
  <c r="J292" i="20"/>
  <c r="I292" i="20"/>
  <c r="G291" i="20"/>
  <c r="K292" i="20"/>
  <c r="AM61" i="18"/>
  <c r="AL60" i="18"/>
  <c r="E40" i="14"/>
  <c r="G40" i="14" s="1"/>
  <c r="W126" i="18" l="1"/>
  <c r="V127" i="18"/>
  <c r="W127" i="18" s="1"/>
  <c r="S12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8" i="18" l="1"/>
  <c r="W128" i="18" s="1"/>
  <c r="S129" i="18"/>
  <c r="X128" i="18"/>
  <c r="X127" i="18"/>
  <c r="J290" i="20"/>
  <c r="G289" i="20"/>
  <c r="I290" i="20"/>
  <c r="K290" i="20"/>
  <c r="AM59" i="18"/>
  <c r="AL58" i="18"/>
  <c r="E38" i="14"/>
  <c r="G38" i="14" s="1"/>
  <c r="S130" i="18" l="1"/>
  <c r="V129" i="18"/>
  <c r="G288" i="20"/>
  <c r="K289" i="20"/>
  <c r="J289" i="20"/>
  <c r="I289" i="20"/>
  <c r="AL57" i="18"/>
  <c r="AM58" i="18"/>
  <c r="E37" i="14"/>
  <c r="G37" i="14" s="1"/>
  <c r="W129" i="18" l="1"/>
  <c r="X129" i="18"/>
  <c r="V130" i="18"/>
  <c r="J288" i="20"/>
  <c r="K288" i="20"/>
  <c r="G287" i="20"/>
  <c r="I288" i="20"/>
  <c r="AL56" i="18"/>
  <c r="AM57" i="18"/>
  <c r="E36" i="14"/>
  <c r="G36" i="14" s="1"/>
  <c r="B105" i="13"/>
  <c r="W130" i="18" l="1"/>
  <c r="X130" i="18"/>
  <c r="V131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1" i="18" l="1"/>
  <c r="X131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7" i="18"/>
  <c r="V14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<sst xmlns="http://schemas.openxmlformats.org/spreadsheetml/2006/main" count="11061" uniqueCount="4864">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</sst>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4839</v>
      </c>
      <c r="B44" s="113">
        <v>-31000</v>
      </c>
      <c r="C44" s="99" t="s">
        <v>4852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E25" sqref="E2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4799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4813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4839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4851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4851</v>
      </c>
      <c r="B6" s="18">
        <v>-1866154</v>
      </c>
      <c r="C6" s="18">
        <v>0</v>
      </c>
      <c r="D6" s="113">
        <f t="shared" si="0"/>
        <v>-1866154</v>
      </c>
      <c r="E6" s="19" t="s">
        <v>4861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4851</v>
      </c>
      <c r="B7" s="18">
        <v>-36600</v>
      </c>
      <c r="C7" s="18">
        <v>0</v>
      </c>
      <c r="D7" s="113">
        <f t="shared" si="0"/>
        <v>-36600</v>
      </c>
      <c r="E7" s="19" t="s">
        <v>4862</v>
      </c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4686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4686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4686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4696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4696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4728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4728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4728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4756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4788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4643</v>
      </c>
      <c r="B31" s="219">
        <v>0</v>
      </c>
      <c r="C31" s="219">
        <v>0</v>
      </c>
      <c r="D31" s="219">
        <f t="shared" si="0"/>
        <v>0</v>
      </c>
      <c r="E31" s="219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1722807</v>
      </c>
      <c r="C32" s="113">
        <f>SUM(C2:C31)</f>
        <v>0</v>
      </c>
      <c r="D32" s="113">
        <f>SUM(D2:D31)</f>
        <v>1722807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46393630</v>
      </c>
      <c r="H33" s="18">
        <f>SUM(H2:H31)</f>
        <v>0</v>
      </c>
      <c r="I33" s="18">
        <f>SUM(I2:I31)</f>
        <v>46393630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4812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4826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4855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4860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4861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768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296" activePane="bottomLeft" state="frozen"/>
      <selection pane="bottomLeft" activeCell="F321" sqref="F32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1054</v>
      </c>
      <c r="H2" s="36">
        <f>IF(B2&gt;0,1,0)</f>
        <v>1</v>
      </c>
      <c r="I2" s="11">
        <f>B2*(G2-H2)</f>
        <v>17585100</v>
      </c>
      <c r="J2" s="53">
        <f>C2*(G2-H2)</f>
        <v>17585100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1053</v>
      </c>
      <c r="H3" s="36">
        <f t="shared" ref="H3:H66" si="2">IF(B3&gt;0,1,0)</f>
        <v>1</v>
      </c>
      <c r="I3" s="11">
        <f t="shared" ref="I3:I66" si="3">B3*(G3-H3)</f>
        <v>20934800000</v>
      </c>
      <c r="J3" s="53">
        <f t="shared" ref="J3:J66" si="4">C3*(G3-H3)</f>
        <v>11979124000</v>
      </c>
      <c r="K3" s="53">
        <f t="shared" ref="K3:K66" si="5">D3*(G3-H3)</f>
        <v>8955676000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1053</v>
      </c>
      <c r="H4" s="36">
        <f t="shared" si="2"/>
        <v>0</v>
      </c>
      <c r="I4" s="11">
        <f t="shared" si="3"/>
        <v>0</v>
      </c>
      <c r="J4" s="53">
        <f t="shared" si="4"/>
        <v>8950500</v>
      </c>
      <c r="K4" s="53">
        <f t="shared" si="5"/>
        <v>-8950500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1051</v>
      </c>
      <c r="H5" s="36">
        <f t="shared" si="2"/>
        <v>1</v>
      </c>
      <c r="I5" s="11">
        <f t="shared" si="3"/>
        <v>2100000000</v>
      </c>
      <c r="J5" s="53">
        <f t="shared" si="4"/>
        <v>0</v>
      </c>
      <c r="K5" s="53">
        <f t="shared" si="5"/>
        <v>2100000000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1044</v>
      </c>
      <c r="H6" s="36">
        <f t="shared" si="2"/>
        <v>0</v>
      </c>
      <c r="I6" s="11">
        <f t="shared" si="3"/>
        <v>-5220000</v>
      </c>
      <c r="J6" s="53">
        <f t="shared" si="4"/>
        <v>0</v>
      </c>
      <c r="K6" s="53">
        <f t="shared" si="5"/>
        <v>-5220000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1040</v>
      </c>
      <c r="H7" s="36">
        <f t="shared" si="2"/>
        <v>0</v>
      </c>
      <c r="I7" s="11">
        <f t="shared" si="3"/>
        <v>-1248520000</v>
      </c>
      <c r="J7" s="53">
        <f t="shared" si="4"/>
        <v>0</v>
      </c>
      <c r="K7" s="53">
        <f t="shared" si="5"/>
        <v>-1248520000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1039</v>
      </c>
      <c r="H8" s="36">
        <f t="shared" si="2"/>
        <v>0</v>
      </c>
      <c r="I8" s="11">
        <f t="shared" si="3"/>
        <v>-207800000</v>
      </c>
      <c r="J8" s="53">
        <f t="shared" si="4"/>
        <v>0</v>
      </c>
      <c r="K8" s="53">
        <f t="shared" si="5"/>
        <v>-207800000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1037</v>
      </c>
      <c r="H9" s="36">
        <f t="shared" si="2"/>
        <v>0</v>
      </c>
      <c r="I9" s="11">
        <f t="shared" si="3"/>
        <v>-731603500</v>
      </c>
      <c r="J9" s="53">
        <f t="shared" si="4"/>
        <v>0</v>
      </c>
      <c r="K9" s="53">
        <f t="shared" si="5"/>
        <v>-731603500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1028</v>
      </c>
      <c r="H10" s="36">
        <f t="shared" si="2"/>
        <v>0</v>
      </c>
      <c r="I10" s="11">
        <f t="shared" si="3"/>
        <v>-205600000</v>
      </c>
      <c r="J10" s="53">
        <f t="shared" si="4"/>
        <v>0</v>
      </c>
      <c r="K10" s="53">
        <f t="shared" si="5"/>
        <v>-205600000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1028</v>
      </c>
      <c r="H11" s="36">
        <f t="shared" si="2"/>
        <v>1</v>
      </c>
      <c r="I11" s="11">
        <f t="shared" si="3"/>
        <v>1027000000</v>
      </c>
      <c r="J11" s="53">
        <f t="shared" si="4"/>
        <v>0</v>
      </c>
      <c r="K11" s="53">
        <f t="shared" si="5"/>
        <v>1027000000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1024</v>
      </c>
      <c r="H12" s="36">
        <f t="shared" si="2"/>
        <v>0</v>
      </c>
      <c r="I12" s="11">
        <f t="shared" si="3"/>
        <v>-307200000</v>
      </c>
      <c r="J12" s="53">
        <f t="shared" si="4"/>
        <v>0</v>
      </c>
      <c r="K12" s="53">
        <f t="shared" si="5"/>
        <v>-307200000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1019</v>
      </c>
      <c r="H13" s="36">
        <f t="shared" si="2"/>
        <v>0</v>
      </c>
      <c r="I13" s="11">
        <f t="shared" si="3"/>
        <v>-63178000</v>
      </c>
      <c r="J13" s="53">
        <f t="shared" si="4"/>
        <v>0</v>
      </c>
      <c r="K13" s="53">
        <f t="shared" si="5"/>
        <v>-63178000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1019</v>
      </c>
      <c r="H14" s="36">
        <f t="shared" si="2"/>
        <v>1</v>
      </c>
      <c r="I14" s="11">
        <f t="shared" si="3"/>
        <v>2036000000</v>
      </c>
      <c r="J14" s="53">
        <f t="shared" si="4"/>
        <v>0</v>
      </c>
      <c r="K14" s="53">
        <f t="shared" si="5"/>
        <v>2036000000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1018</v>
      </c>
      <c r="H15" s="36">
        <f t="shared" si="2"/>
        <v>1</v>
      </c>
      <c r="I15" s="11">
        <f t="shared" si="3"/>
        <v>1830600000</v>
      </c>
      <c r="J15" s="53">
        <f t="shared" si="4"/>
        <v>0</v>
      </c>
      <c r="K15" s="53">
        <f t="shared" si="5"/>
        <v>1830600000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1018</v>
      </c>
      <c r="H16" s="36">
        <f t="shared" si="2"/>
        <v>0</v>
      </c>
      <c r="I16" s="11">
        <f t="shared" si="3"/>
        <v>-203600000</v>
      </c>
      <c r="J16" s="53">
        <f t="shared" si="4"/>
        <v>0</v>
      </c>
      <c r="K16" s="53">
        <f t="shared" si="5"/>
        <v>-203600000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1014</v>
      </c>
      <c r="H17" s="36">
        <f t="shared" si="2"/>
        <v>0</v>
      </c>
      <c r="I17" s="11">
        <f t="shared" si="3"/>
        <v>-2028000000</v>
      </c>
      <c r="J17" s="53">
        <f t="shared" si="4"/>
        <v>0</v>
      </c>
      <c r="K17" s="53">
        <f t="shared" si="5"/>
        <v>-2028000000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1013</v>
      </c>
      <c r="H18" s="36">
        <f t="shared" si="2"/>
        <v>0</v>
      </c>
      <c r="I18" s="11">
        <f t="shared" si="3"/>
        <v>-303900000</v>
      </c>
      <c r="J18" s="53">
        <f t="shared" si="4"/>
        <v>0</v>
      </c>
      <c r="K18" s="53">
        <f t="shared" si="5"/>
        <v>-303900000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1012</v>
      </c>
      <c r="H19" s="36">
        <f t="shared" si="2"/>
        <v>0</v>
      </c>
      <c r="I19" s="11">
        <f t="shared" si="3"/>
        <v>-202400000</v>
      </c>
      <c r="J19" s="53">
        <f t="shared" si="4"/>
        <v>0</v>
      </c>
      <c r="K19" s="53">
        <f t="shared" si="5"/>
        <v>-202400000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1010</v>
      </c>
      <c r="H20" s="36">
        <f t="shared" si="2"/>
        <v>1</v>
      </c>
      <c r="I20" s="11">
        <f t="shared" si="3"/>
        <v>273528801</v>
      </c>
      <c r="J20" s="53">
        <f t="shared" si="4"/>
        <v>148779068</v>
      </c>
      <c r="K20" s="53">
        <f t="shared" si="5"/>
        <v>124749733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1008</v>
      </c>
      <c r="H21" s="36">
        <f t="shared" si="2"/>
        <v>0</v>
      </c>
      <c r="I21" s="11">
        <f t="shared" si="3"/>
        <v>-1517745600</v>
      </c>
      <c r="J21" s="53">
        <f t="shared" si="4"/>
        <v>0</v>
      </c>
      <c r="K21" s="53">
        <f t="shared" si="5"/>
        <v>-1517745600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1005</v>
      </c>
      <c r="H22" s="36">
        <f t="shared" si="2"/>
        <v>1</v>
      </c>
      <c r="I22" s="11">
        <f t="shared" si="3"/>
        <v>3012000000</v>
      </c>
      <c r="J22" s="53">
        <f t="shared" si="4"/>
        <v>0</v>
      </c>
      <c r="K22" s="53">
        <f t="shared" si="5"/>
        <v>3012000000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1004</v>
      </c>
      <c r="H23" s="36">
        <f t="shared" si="2"/>
        <v>1</v>
      </c>
      <c r="I23" s="11">
        <f t="shared" si="3"/>
        <v>1003000000</v>
      </c>
      <c r="J23" s="53">
        <f t="shared" si="4"/>
        <v>0</v>
      </c>
      <c r="K23" s="53">
        <f t="shared" si="5"/>
        <v>1003000000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1003</v>
      </c>
      <c r="H24" s="36">
        <f t="shared" si="2"/>
        <v>0</v>
      </c>
      <c r="I24" s="11">
        <f t="shared" si="3"/>
        <v>-3009902700</v>
      </c>
      <c r="J24" s="53">
        <f t="shared" si="4"/>
        <v>0</v>
      </c>
      <c r="K24" s="53">
        <f t="shared" si="5"/>
        <v>-3009902700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988</v>
      </c>
      <c r="H25" s="36">
        <f t="shared" si="2"/>
        <v>1</v>
      </c>
      <c r="I25" s="11">
        <f t="shared" si="3"/>
        <v>1480500000</v>
      </c>
      <c r="J25" s="53">
        <f t="shared" si="4"/>
        <v>0</v>
      </c>
      <c r="K25" s="53">
        <f t="shared" si="5"/>
        <v>1480500000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980</v>
      </c>
      <c r="H26" s="36">
        <f t="shared" si="2"/>
        <v>0</v>
      </c>
      <c r="I26" s="11">
        <f t="shared" si="3"/>
        <v>-160720000</v>
      </c>
      <c r="J26" s="53">
        <f t="shared" si="4"/>
        <v>0</v>
      </c>
      <c r="K26" s="53">
        <f t="shared" si="5"/>
        <v>-160720000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979</v>
      </c>
      <c r="H27" s="36">
        <f t="shared" si="2"/>
        <v>1</v>
      </c>
      <c r="I27" s="11">
        <f t="shared" si="3"/>
        <v>195006354</v>
      </c>
      <c r="J27" s="53">
        <f t="shared" si="4"/>
        <v>105049914</v>
      </c>
      <c r="K27" s="53">
        <f t="shared" si="5"/>
        <v>89956440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977</v>
      </c>
      <c r="H28" s="36">
        <f t="shared" si="2"/>
        <v>0</v>
      </c>
      <c r="I28" s="11">
        <f t="shared" si="3"/>
        <v>-215917000</v>
      </c>
      <c r="J28" s="53">
        <f t="shared" si="4"/>
        <v>-215917000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977</v>
      </c>
      <c r="H29" s="36">
        <f t="shared" si="2"/>
        <v>0</v>
      </c>
      <c r="I29" s="11">
        <f t="shared" si="3"/>
        <v>-488988500</v>
      </c>
      <c r="J29" s="53">
        <f t="shared" si="4"/>
        <v>0</v>
      </c>
      <c r="K29" s="53">
        <f t="shared" si="5"/>
        <v>-488988500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977</v>
      </c>
      <c r="H30" s="36">
        <f t="shared" si="2"/>
        <v>0</v>
      </c>
      <c r="I30" s="11">
        <f t="shared" si="3"/>
        <v>-14655000000</v>
      </c>
      <c r="J30" s="53">
        <f t="shared" si="4"/>
        <v>-14655000000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960</v>
      </c>
      <c r="H31" s="36">
        <f t="shared" si="2"/>
        <v>0</v>
      </c>
      <c r="I31" s="11">
        <f t="shared" si="3"/>
        <v>-2890464000</v>
      </c>
      <c r="J31" s="53">
        <f t="shared" si="4"/>
        <v>0</v>
      </c>
      <c r="K31" s="53">
        <f t="shared" si="5"/>
        <v>-2890464000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958</v>
      </c>
      <c r="H32" s="36">
        <f t="shared" si="2"/>
        <v>0</v>
      </c>
      <c r="I32" s="11">
        <f t="shared" si="3"/>
        <v>-2879652200</v>
      </c>
      <c r="J32" s="53">
        <f t="shared" si="4"/>
        <v>0</v>
      </c>
      <c r="K32" s="53">
        <f t="shared" si="5"/>
        <v>-2879652200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957</v>
      </c>
      <c r="H33" s="36">
        <f t="shared" si="2"/>
        <v>0</v>
      </c>
      <c r="I33" s="11">
        <f t="shared" si="3"/>
        <v>-856993500</v>
      </c>
      <c r="J33" s="53">
        <f t="shared" si="4"/>
        <v>0</v>
      </c>
      <c r="K33" s="53">
        <f t="shared" si="5"/>
        <v>-856993500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957</v>
      </c>
      <c r="H34" s="36">
        <f t="shared" si="2"/>
        <v>0</v>
      </c>
      <c r="I34" s="11">
        <f t="shared" si="3"/>
        <v>0</v>
      </c>
      <c r="J34" s="53">
        <f t="shared" si="4"/>
        <v>957000000</v>
      </c>
      <c r="K34" s="53">
        <f t="shared" si="5"/>
        <v>-957000000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948</v>
      </c>
      <c r="H35" s="36">
        <f t="shared" si="2"/>
        <v>1</v>
      </c>
      <c r="I35" s="11">
        <f t="shared" si="3"/>
        <v>49690984</v>
      </c>
      <c r="J35" s="53">
        <f t="shared" si="4"/>
        <v>-20514861</v>
      </c>
      <c r="K35" s="53">
        <f t="shared" si="5"/>
        <v>70205845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948</v>
      </c>
      <c r="H36" s="36">
        <f t="shared" si="2"/>
        <v>0</v>
      </c>
      <c r="I36" s="11">
        <f t="shared" si="3"/>
        <v>0</v>
      </c>
      <c r="J36" s="53">
        <f t="shared" si="4"/>
        <v>20536524</v>
      </c>
      <c r="K36" s="53">
        <f t="shared" si="5"/>
        <v>-20536524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938</v>
      </c>
      <c r="H37" s="36">
        <f t="shared" si="2"/>
        <v>0</v>
      </c>
      <c r="I37" s="11">
        <f t="shared" si="3"/>
        <v>-51590000</v>
      </c>
      <c r="J37" s="53">
        <f t="shared" si="4"/>
        <v>0</v>
      </c>
      <c r="K37" s="53">
        <f t="shared" si="5"/>
        <v>-51590000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937</v>
      </c>
      <c r="H38" s="36">
        <f t="shared" si="2"/>
        <v>1</v>
      </c>
      <c r="I38" s="11">
        <f t="shared" si="3"/>
        <v>2808000000</v>
      </c>
      <c r="J38" s="53">
        <f t="shared" si="4"/>
        <v>2808000000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936</v>
      </c>
      <c r="H39" s="36">
        <f t="shared" si="2"/>
        <v>1</v>
      </c>
      <c r="I39" s="11">
        <f t="shared" si="3"/>
        <v>2337500000</v>
      </c>
      <c r="J39" s="53">
        <f t="shared" si="4"/>
        <v>2337500000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936</v>
      </c>
      <c r="H40" s="36">
        <f t="shared" si="2"/>
        <v>0</v>
      </c>
      <c r="I40" s="11">
        <f t="shared" si="3"/>
        <v>-46800000</v>
      </c>
      <c r="J40" s="53">
        <f t="shared" si="4"/>
        <v>0</v>
      </c>
      <c r="K40" s="53">
        <f t="shared" si="5"/>
        <v>-46800000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936</v>
      </c>
      <c r="H41" s="36">
        <f t="shared" si="2"/>
        <v>1</v>
      </c>
      <c r="I41" s="11">
        <f t="shared" si="3"/>
        <v>2805000000</v>
      </c>
      <c r="J41" s="53">
        <f t="shared" si="4"/>
        <v>0</v>
      </c>
      <c r="K41" s="53">
        <f t="shared" si="5"/>
        <v>2805000000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933</v>
      </c>
      <c r="H42" s="36">
        <f t="shared" si="2"/>
        <v>0</v>
      </c>
      <c r="I42" s="11">
        <f t="shared" si="3"/>
        <v>-83223600</v>
      </c>
      <c r="J42" s="53">
        <f t="shared" si="4"/>
        <v>0</v>
      </c>
      <c r="K42" s="53">
        <f t="shared" si="5"/>
        <v>-83223600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929</v>
      </c>
      <c r="H43" s="36">
        <f t="shared" si="2"/>
        <v>0</v>
      </c>
      <c r="I43" s="11">
        <f t="shared" si="3"/>
        <v>-185800000</v>
      </c>
      <c r="J43" s="53">
        <f t="shared" si="4"/>
        <v>0</v>
      </c>
      <c r="K43" s="53">
        <f t="shared" si="5"/>
        <v>-185800000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927</v>
      </c>
      <c r="H44" s="36">
        <f t="shared" si="2"/>
        <v>0</v>
      </c>
      <c r="I44" s="11">
        <f t="shared" si="3"/>
        <v>-185400000</v>
      </c>
      <c r="J44" s="53">
        <f t="shared" si="4"/>
        <v>0</v>
      </c>
      <c r="K44" s="53">
        <f t="shared" si="5"/>
        <v>-185400000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927</v>
      </c>
      <c r="H45" s="36">
        <f t="shared" si="2"/>
        <v>0</v>
      </c>
      <c r="I45" s="11">
        <f t="shared" si="3"/>
        <v>-519120000</v>
      </c>
      <c r="J45" s="53">
        <f t="shared" si="4"/>
        <v>0</v>
      </c>
      <c r="K45" s="53">
        <f t="shared" si="5"/>
        <v>-519120000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923</v>
      </c>
      <c r="H46" s="36">
        <f t="shared" si="2"/>
        <v>0</v>
      </c>
      <c r="I46" s="11">
        <f t="shared" si="3"/>
        <v>-651176500</v>
      </c>
      <c r="J46" s="53">
        <f t="shared" si="4"/>
        <v>0</v>
      </c>
      <c r="K46" s="53">
        <f t="shared" si="5"/>
        <v>-651176500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917</v>
      </c>
      <c r="H47" s="36">
        <f t="shared" si="2"/>
        <v>1</v>
      </c>
      <c r="I47" s="11">
        <f t="shared" si="3"/>
        <v>37742864</v>
      </c>
      <c r="J47" s="53">
        <f t="shared" si="4"/>
        <v>6149108</v>
      </c>
      <c r="K47" s="53">
        <f t="shared" si="5"/>
        <v>31593756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917</v>
      </c>
      <c r="H48" s="36">
        <f t="shared" si="2"/>
        <v>1</v>
      </c>
      <c r="I48" s="11">
        <f t="shared" si="3"/>
        <v>1561505200</v>
      </c>
      <c r="J48" s="53">
        <f t="shared" si="4"/>
        <v>0</v>
      </c>
      <c r="K48" s="53">
        <f t="shared" si="5"/>
        <v>1561505200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908</v>
      </c>
      <c r="H49" s="36">
        <f t="shared" si="2"/>
        <v>0</v>
      </c>
      <c r="I49" s="11">
        <f t="shared" si="3"/>
        <v>-140740000</v>
      </c>
      <c r="J49" s="53">
        <f t="shared" si="4"/>
        <v>0</v>
      </c>
      <c r="K49" s="53">
        <f t="shared" si="5"/>
        <v>-140740000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908</v>
      </c>
      <c r="H50" s="36">
        <f t="shared" si="2"/>
        <v>0</v>
      </c>
      <c r="I50" s="11">
        <f t="shared" si="3"/>
        <v>-125304000</v>
      </c>
      <c r="J50" s="53">
        <f t="shared" si="4"/>
        <v>0</v>
      </c>
      <c r="K50" s="53">
        <f t="shared" si="5"/>
        <v>-125304000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908</v>
      </c>
      <c r="H51" s="36">
        <f t="shared" si="2"/>
        <v>0</v>
      </c>
      <c r="I51" s="11">
        <f t="shared" si="3"/>
        <v>-671920000</v>
      </c>
      <c r="J51" s="53">
        <f t="shared" si="4"/>
        <v>0</v>
      </c>
      <c r="K51" s="53">
        <f t="shared" si="5"/>
        <v>-671920000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908</v>
      </c>
      <c r="H52" s="36">
        <f t="shared" si="2"/>
        <v>0</v>
      </c>
      <c r="I52" s="11">
        <f t="shared" si="3"/>
        <v>-181600000</v>
      </c>
      <c r="J52" s="53">
        <f t="shared" si="4"/>
        <v>0</v>
      </c>
      <c r="K52" s="53">
        <f t="shared" si="5"/>
        <v>-181600000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907</v>
      </c>
      <c r="H53" s="36">
        <f t="shared" si="2"/>
        <v>0</v>
      </c>
      <c r="I53" s="11">
        <f t="shared" si="3"/>
        <v>-956885000</v>
      </c>
      <c r="J53" s="53">
        <f t="shared" si="4"/>
        <v>0</v>
      </c>
      <c r="K53" s="53">
        <f t="shared" si="5"/>
        <v>-956885000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907</v>
      </c>
      <c r="H54" s="36">
        <f t="shared" si="2"/>
        <v>0</v>
      </c>
      <c r="I54" s="11">
        <f t="shared" si="3"/>
        <v>-181400000</v>
      </c>
      <c r="J54" s="53">
        <f t="shared" si="4"/>
        <v>0</v>
      </c>
      <c r="K54" s="53">
        <f t="shared" si="5"/>
        <v>-181400000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907</v>
      </c>
      <c r="H55" s="36">
        <f t="shared" si="2"/>
        <v>0</v>
      </c>
      <c r="I55" s="11">
        <f t="shared" si="3"/>
        <v>-907453500</v>
      </c>
      <c r="J55" s="53">
        <f t="shared" si="4"/>
        <v>0</v>
      </c>
      <c r="K55" s="53">
        <f t="shared" si="5"/>
        <v>-907453500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907</v>
      </c>
      <c r="H56" s="36">
        <f t="shared" si="2"/>
        <v>0</v>
      </c>
      <c r="I56" s="11">
        <f t="shared" si="3"/>
        <v>-34466000</v>
      </c>
      <c r="J56" s="53">
        <f t="shared" si="4"/>
        <v>0</v>
      </c>
      <c r="K56" s="53">
        <f t="shared" si="5"/>
        <v>-34466000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907</v>
      </c>
      <c r="H57" s="36">
        <f t="shared" si="2"/>
        <v>0</v>
      </c>
      <c r="I57" s="11">
        <f t="shared" si="3"/>
        <v>-95235000</v>
      </c>
      <c r="J57" s="53">
        <f t="shared" si="4"/>
        <v>0</v>
      </c>
      <c r="K57" s="53">
        <f t="shared" si="5"/>
        <v>-95235000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907</v>
      </c>
      <c r="H58" s="36">
        <f t="shared" si="2"/>
        <v>0</v>
      </c>
      <c r="I58" s="11">
        <f t="shared" si="3"/>
        <v>-54420000</v>
      </c>
      <c r="J58" s="53">
        <f t="shared" si="4"/>
        <v>0</v>
      </c>
      <c r="K58" s="53">
        <f t="shared" si="5"/>
        <v>-54420000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904</v>
      </c>
      <c r="H59" s="36">
        <f t="shared" si="2"/>
        <v>1</v>
      </c>
      <c r="I59" s="11">
        <f t="shared" si="3"/>
        <v>903000000</v>
      </c>
      <c r="J59" s="53">
        <f t="shared" si="4"/>
        <v>903000000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903</v>
      </c>
      <c r="H60" s="36">
        <f t="shared" si="2"/>
        <v>1</v>
      </c>
      <c r="I60" s="11">
        <f t="shared" si="3"/>
        <v>3157000000</v>
      </c>
      <c r="J60" s="53">
        <f t="shared" si="4"/>
        <v>3157000000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901</v>
      </c>
      <c r="H61" s="36">
        <f t="shared" si="2"/>
        <v>1</v>
      </c>
      <c r="I61" s="11">
        <f t="shared" si="3"/>
        <v>900000000</v>
      </c>
      <c r="J61" s="53">
        <f t="shared" si="4"/>
        <v>900000000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901</v>
      </c>
      <c r="H62" s="36">
        <f t="shared" si="2"/>
        <v>1</v>
      </c>
      <c r="I62" s="11">
        <f t="shared" si="3"/>
        <v>2700000000</v>
      </c>
      <c r="J62" s="53">
        <f t="shared" si="4"/>
        <v>2700000000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899</v>
      </c>
      <c r="H63" s="36">
        <f t="shared" si="2"/>
        <v>0</v>
      </c>
      <c r="I63" s="11">
        <f t="shared" si="3"/>
        <v>-179800000</v>
      </c>
      <c r="J63" s="53">
        <f t="shared" si="4"/>
        <v>0</v>
      </c>
      <c r="K63" s="53">
        <f t="shared" si="5"/>
        <v>-179800000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894</v>
      </c>
      <c r="H64" s="36">
        <f t="shared" si="2"/>
        <v>0</v>
      </c>
      <c r="I64" s="11">
        <f t="shared" si="3"/>
        <v>-44700000</v>
      </c>
      <c r="J64" s="53">
        <f t="shared" si="4"/>
        <v>0</v>
      </c>
      <c r="K64" s="53">
        <f t="shared" si="5"/>
        <v>-44700000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890</v>
      </c>
      <c r="H65" s="36">
        <f t="shared" si="2"/>
        <v>0</v>
      </c>
      <c r="I65" s="11">
        <f t="shared" si="3"/>
        <v>-178000000</v>
      </c>
      <c r="J65" s="53">
        <f t="shared" si="4"/>
        <v>0</v>
      </c>
      <c r="K65" s="53">
        <f t="shared" si="5"/>
        <v>-178000000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887</v>
      </c>
      <c r="H66" s="36">
        <f t="shared" si="2"/>
        <v>0</v>
      </c>
      <c r="I66" s="11">
        <f t="shared" si="3"/>
        <v>-150790000</v>
      </c>
      <c r="J66" s="53">
        <f t="shared" si="4"/>
        <v>0</v>
      </c>
      <c r="K66" s="53">
        <f t="shared" si="5"/>
        <v>-150790000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886</v>
      </c>
      <c r="H67" s="36">
        <f t="shared" ref="H67:H131" si="8">IF(B67&gt;0,1,0)</f>
        <v>1</v>
      </c>
      <c r="I67" s="11">
        <f t="shared" ref="I67:I119" si="9">B67*(G67-H67)</f>
        <v>80822625</v>
      </c>
      <c r="J67" s="53">
        <f t="shared" ref="J67:J131" si="10">C67*(G67-H67)</f>
        <v>58164855</v>
      </c>
      <c r="K67" s="53">
        <f t="shared" ref="K67:K131" si="11">D67*(G67-H67)</f>
        <v>22657770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868</v>
      </c>
      <c r="H68" s="36">
        <f t="shared" si="8"/>
        <v>0</v>
      </c>
      <c r="I68" s="11">
        <f t="shared" si="9"/>
        <v>-125860000</v>
      </c>
      <c r="J68" s="53">
        <f t="shared" si="10"/>
        <v>0</v>
      </c>
      <c r="K68" s="53">
        <f t="shared" si="11"/>
        <v>-125860000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861</v>
      </c>
      <c r="H69" s="36">
        <f t="shared" si="8"/>
        <v>1</v>
      </c>
      <c r="I69" s="11">
        <f t="shared" si="9"/>
        <v>842800000</v>
      </c>
      <c r="J69" s="53">
        <f t="shared" si="10"/>
        <v>0</v>
      </c>
      <c r="K69" s="53">
        <f t="shared" si="11"/>
        <v>842800000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858</v>
      </c>
      <c r="H70" s="36">
        <f t="shared" si="8"/>
        <v>0</v>
      </c>
      <c r="I70" s="11">
        <f t="shared" si="9"/>
        <v>-39468000</v>
      </c>
      <c r="J70" s="53">
        <f t="shared" si="10"/>
        <v>0</v>
      </c>
      <c r="K70" s="53">
        <f t="shared" si="11"/>
        <v>-39468000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856</v>
      </c>
      <c r="H71" s="36">
        <f t="shared" si="8"/>
        <v>1</v>
      </c>
      <c r="I71" s="11">
        <f t="shared" si="9"/>
        <v>98613990</v>
      </c>
      <c r="J71" s="53">
        <f t="shared" si="10"/>
        <v>88759260</v>
      </c>
      <c r="K71" s="53">
        <f t="shared" si="11"/>
        <v>9854730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855</v>
      </c>
      <c r="H72" s="36">
        <f t="shared" si="8"/>
        <v>0</v>
      </c>
      <c r="I72" s="11">
        <f t="shared" si="9"/>
        <v>-129933495</v>
      </c>
      <c r="J72" s="53">
        <f t="shared" si="10"/>
        <v>0</v>
      </c>
      <c r="K72" s="53">
        <f t="shared" si="11"/>
        <v>-129933495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854</v>
      </c>
      <c r="H73" s="36">
        <f t="shared" si="8"/>
        <v>0</v>
      </c>
      <c r="I73" s="11">
        <f t="shared" si="9"/>
        <v>-687897000</v>
      </c>
      <c r="J73" s="53">
        <f t="shared" si="10"/>
        <v>0</v>
      </c>
      <c r="K73" s="53">
        <f t="shared" si="11"/>
        <v>-687897000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847</v>
      </c>
      <c r="H74" s="36">
        <f t="shared" si="8"/>
        <v>1</v>
      </c>
      <c r="I74" s="11">
        <f t="shared" si="9"/>
        <v>5917770000</v>
      </c>
      <c r="J74" s="53">
        <f t="shared" si="10"/>
        <v>0</v>
      </c>
      <c r="K74" s="53">
        <f t="shared" si="11"/>
        <v>5917770000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846</v>
      </c>
      <c r="H75" s="36">
        <f t="shared" si="8"/>
        <v>1</v>
      </c>
      <c r="I75" s="11">
        <f t="shared" si="9"/>
        <v>2535000000</v>
      </c>
      <c r="J75" s="53">
        <f t="shared" si="10"/>
        <v>0</v>
      </c>
      <c r="K75" s="53">
        <f t="shared" si="11"/>
        <v>2535000000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844</v>
      </c>
      <c r="H76" s="36">
        <f t="shared" si="8"/>
        <v>1</v>
      </c>
      <c r="I76" s="11">
        <f t="shared" si="9"/>
        <v>2529000000</v>
      </c>
      <c r="J76" s="53">
        <f t="shared" si="10"/>
        <v>0</v>
      </c>
      <c r="K76" s="53">
        <f t="shared" si="11"/>
        <v>2529000000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843</v>
      </c>
      <c r="H77" s="36">
        <f t="shared" si="8"/>
        <v>1</v>
      </c>
      <c r="I77" s="11">
        <f t="shared" si="9"/>
        <v>2526000000</v>
      </c>
      <c r="J77" s="53">
        <f t="shared" si="10"/>
        <v>0</v>
      </c>
      <c r="K77" s="53">
        <f t="shared" si="11"/>
        <v>2526000000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842</v>
      </c>
      <c r="H78" s="36">
        <f t="shared" si="8"/>
        <v>0</v>
      </c>
      <c r="I78" s="11">
        <f t="shared" si="9"/>
        <v>-2694400000</v>
      </c>
      <c r="J78" s="53">
        <f t="shared" si="10"/>
        <v>-2694400000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841</v>
      </c>
      <c r="H79" s="36">
        <f t="shared" si="8"/>
        <v>0</v>
      </c>
      <c r="I79" s="11">
        <f t="shared" si="9"/>
        <v>-672800000</v>
      </c>
      <c r="J79" s="53">
        <f t="shared" si="10"/>
        <v>-672800000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840</v>
      </c>
      <c r="H80" s="36">
        <f t="shared" si="8"/>
        <v>0</v>
      </c>
      <c r="I80" s="11">
        <f t="shared" si="9"/>
        <v>-40650120</v>
      </c>
      <c r="J80" s="53">
        <f t="shared" si="10"/>
        <v>0</v>
      </c>
      <c r="K80" s="53">
        <f t="shared" si="11"/>
        <v>-40650120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839</v>
      </c>
      <c r="H81" s="36">
        <f t="shared" si="8"/>
        <v>0</v>
      </c>
      <c r="I81" s="11">
        <f t="shared" si="9"/>
        <v>-117460000</v>
      </c>
      <c r="J81" s="53">
        <f t="shared" si="10"/>
        <v>0</v>
      </c>
      <c r="K81" s="53">
        <f t="shared" si="11"/>
        <v>-117460000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838</v>
      </c>
      <c r="H82" s="36">
        <f t="shared" si="8"/>
        <v>0</v>
      </c>
      <c r="I82" s="11">
        <f t="shared" si="9"/>
        <v>-209500000</v>
      </c>
      <c r="J82" s="53">
        <f t="shared" si="10"/>
        <v>0</v>
      </c>
      <c r="K82" s="53">
        <f t="shared" si="11"/>
        <v>-209500000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837</v>
      </c>
      <c r="H83" s="36">
        <f t="shared" si="8"/>
        <v>0</v>
      </c>
      <c r="I83" s="11">
        <f t="shared" si="9"/>
        <v>-167400000</v>
      </c>
      <c r="J83" s="53">
        <f t="shared" si="10"/>
        <v>0</v>
      </c>
      <c r="K83" s="53">
        <f t="shared" si="11"/>
        <v>-167400000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834</v>
      </c>
      <c r="H84" s="36">
        <f t="shared" si="8"/>
        <v>1</v>
      </c>
      <c r="I84" s="11">
        <f t="shared" si="9"/>
        <v>1362121600</v>
      </c>
      <c r="J84" s="53">
        <f t="shared" si="10"/>
        <v>0</v>
      </c>
      <c r="K84" s="53">
        <f t="shared" si="11"/>
        <v>1362121600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830</v>
      </c>
      <c r="H85" s="36">
        <f t="shared" si="8"/>
        <v>1</v>
      </c>
      <c r="I85" s="11">
        <f t="shared" si="9"/>
        <v>2072500000</v>
      </c>
      <c r="J85" s="53">
        <f t="shared" si="10"/>
        <v>0</v>
      </c>
      <c r="K85" s="53">
        <f t="shared" si="11"/>
        <v>2072500000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826</v>
      </c>
      <c r="H86" s="36">
        <f t="shared" si="8"/>
        <v>1</v>
      </c>
      <c r="I86" s="11">
        <f t="shared" si="9"/>
        <v>153697500</v>
      </c>
      <c r="J86" s="53">
        <f t="shared" si="10"/>
        <v>70083750</v>
      </c>
      <c r="K86" s="53">
        <f t="shared" si="11"/>
        <v>83613750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823</v>
      </c>
      <c r="H87" s="36">
        <f t="shared" si="8"/>
        <v>0</v>
      </c>
      <c r="I87" s="11">
        <f t="shared" si="9"/>
        <v>-164600000</v>
      </c>
      <c r="J87" s="53">
        <f t="shared" si="10"/>
        <v>0</v>
      </c>
      <c r="K87" s="53">
        <f t="shared" si="11"/>
        <v>-164600000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822</v>
      </c>
      <c r="H88" s="36">
        <f t="shared" si="8"/>
        <v>0</v>
      </c>
      <c r="I88" s="11">
        <f t="shared" si="9"/>
        <v>-96996000</v>
      </c>
      <c r="J88" s="53">
        <f t="shared" si="10"/>
        <v>-56718000</v>
      </c>
      <c r="K88" s="53">
        <f t="shared" si="11"/>
        <v>-40278000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814</v>
      </c>
      <c r="H89" s="36">
        <f t="shared" si="8"/>
        <v>0</v>
      </c>
      <c r="I89" s="11">
        <f t="shared" si="9"/>
        <v>-2605532600</v>
      </c>
      <c r="J89" s="53">
        <f t="shared" si="10"/>
        <v>0</v>
      </c>
      <c r="K89" s="53">
        <f t="shared" si="11"/>
        <v>-2605532600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813</v>
      </c>
      <c r="H90" s="36">
        <f t="shared" si="8"/>
        <v>0</v>
      </c>
      <c r="I90" s="11">
        <f t="shared" si="9"/>
        <v>-2602331700</v>
      </c>
      <c r="J90" s="53">
        <f t="shared" si="10"/>
        <v>0</v>
      </c>
      <c r="K90" s="53">
        <f t="shared" si="11"/>
        <v>-2602331700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812</v>
      </c>
      <c r="H91" s="36">
        <f t="shared" si="8"/>
        <v>0</v>
      </c>
      <c r="I91" s="11">
        <f t="shared" si="9"/>
        <v>-2599130800</v>
      </c>
      <c r="J91" s="53">
        <f t="shared" si="10"/>
        <v>0</v>
      </c>
      <c r="K91" s="53">
        <f t="shared" si="11"/>
        <v>-2599130800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811</v>
      </c>
      <c r="H92" s="36">
        <f t="shared" si="8"/>
        <v>0</v>
      </c>
      <c r="I92" s="11">
        <f t="shared" si="9"/>
        <v>-2595929900</v>
      </c>
      <c r="J92" s="53">
        <f t="shared" si="10"/>
        <v>0</v>
      </c>
      <c r="K92" s="53">
        <f t="shared" si="11"/>
        <v>-2595929900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810</v>
      </c>
      <c r="H93" s="36">
        <f t="shared" si="8"/>
        <v>0</v>
      </c>
      <c r="I93" s="11">
        <f t="shared" si="9"/>
        <v>-2592729000</v>
      </c>
      <c r="J93" s="53">
        <f t="shared" si="10"/>
        <v>0</v>
      </c>
      <c r="K93" s="53">
        <f t="shared" si="11"/>
        <v>-2592729000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809</v>
      </c>
      <c r="H94" s="36">
        <f t="shared" si="8"/>
        <v>0</v>
      </c>
      <c r="I94" s="11">
        <f t="shared" si="9"/>
        <v>-2589528100</v>
      </c>
      <c r="J94" s="53">
        <f t="shared" si="10"/>
        <v>0</v>
      </c>
      <c r="K94" s="53">
        <f t="shared" si="11"/>
        <v>-2589528100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807</v>
      </c>
      <c r="H95" s="36">
        <f t="shared" si="8"/>
        <v>0</v>
      </c>
      <c r="I95" s="11">
        <f t="shared" si="9"/>
        <v>-965652972</v>
      </c>
      <c r="J95" s="53">
        <f t="shared" si="10"/>
        <v>0</v>
      </c>
      <c r="K95" s="53">
        <f t="shared" si="11"/>
        <v>-965652972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797</v>
      </c>
      <c r="H96" s="36">
        <f t="shared" si="8"/>
        <v>0</v>
      </c>
      <c r="I96" s="11">
        <f t="shared" si="9"/>
        <v>-159400000</v>
      </c>
      <c r="J96" s="53">
        <f t="shared" si="10"/>
        <v>0</v>
      </c>
      <c r="K96" s="53">
        <f t="shared" si="11"/>
        <v>-159400000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796</v>
      </c>
      <c r="H97" s="36">
        <f t="shared" si="8"/>
        <v>1</v>
      </c>
      <c r="I97" s="11">
        <f t="shared" si="9"/>
        <v>126848610</v>
      </c>
      <c r="J97" s="53">
        <f t="shared" si="10"/>
        <v>54796170</v>
      </c>
      <c r="K97" s="53">
        <f t="shared" si="11"/>
        <v>72052440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791</v>
      </c>
      <c r="H98" s="36">
        <f t="shared" si="8"/>
        <v>1</v>
      </c>
      <c r="I98" s="11">
        <f t="shared" si="9"/>
        <v>90350720</v>
      </c>
      <c r="J98" s="53">
        <f t="shared" si="10"/>
        <v>0</v>
      </c>
      <c r="K98" s="53">
        <f t="shared" si="11"/>
        <v>90350720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788</v>
      </c>
      <c r="H99" s="36">
        <f t="shared" si="8"/>
        <v>0</v>
      </c>
      <c r="I99" s="11">
        <f t="shared" si="9"/>
        <v>-1044100000</v>
      </c>
      <c r="J99" s="53">
        <f t="shared" si="10"/>
        <v>0</v>
      </c>
      <c r="K99" s="53">
        <f t="shared" si="11"/>
        <v>-1044100000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783</v>
      </c>
      <c r="H100" s="36">
        <f t="shared" si="8"/>
        <v>1</v>
      </c>
      <c r="I100" s="11">
        <f t="shared" si="9"/>
        <v>1036150000</v>
      </c>
      <c r="J100" s="53">
        <f t="shared" si="10"/>
        <v>0</v>
      </c>
      <c r="K100" s="53">
        <f t="shared" si="11"/>
        <v>1036150000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766</v>
      </c>
      <c r="H101" s="36">
        <f t="shared" si="8"/>
        <v>1</v>
      </c>
      <c r="I101" s="11">
        <f t="shared" si="9"/>
        <v>51136425</v>
      </c>
      <c r="J101" s="53">
        <f t="shared" si="10"/>
        <v>51136425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763</v>
      </c>
      <c r="H102" s="36">
        <f t="shared" si="8"/>
        <v>1</v>
      </c>
      <c r="I102" s="11">
        <f t="shared" si="9"/>
        <v>2286000000</v>
      </c>
      <c r="J102" s="53">
        <f t="shared" si="10"/>
        <v>0</v>
      </c>
      <c r="K102" s="53">
        <f t="shared" si="11"/>
        <v>2286000000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756</v>
      </c>
      <c r="H103" s="36">
        <f t="shared" si="8"/>
        <v>0</v>
      </c>
      <c r="I103" s="11">
        <f t="shared" si="9"/>
        <v>-756000000</v>
      </c>
      <c r="J103" s="53">
        <f t="shared" si="10"/>
        <v>-756000000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746</v>
      </c>
      <c r="H104" s="36">
        <f t="shared" si="8"/>
        <v>1</v>
      </c>
      <c r="I104" s="11">
        <f t="shared" si="9"/>
        <v>2235000000</v>
      </c>
      <c r="J104" s="53">
        <f t="shared" si="10"/>
        <v>2235000000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745</v>
      </c>
      <c r="H105" s="36">
        <f t="shared" si="8"/>
        <v>1</v>
      </c>
      <c r="I105" s="11">
        <f t="shared" si="9"/>
        <v>833280000</v>
      </c>
      <c r="J105" s="53">
        <f t="shared" si="10"/>
        <v>833280000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745</v>
      </c>
      <c r="H106" s="36">
        <f t="shared" si="8"/>
        <v>0</v>
      </c>
      <c r="I106" s="11">
        <f t="shared" si="9"/>
        <v>-2235000000</v>
      </c>
      <c r="J106" s="53">
        <f t="shared" si="10"/>
        <v>0</v>
      </c>
      <c r="K106" s="53">
        <f t="shared" si="11"/>
        <v>-2235000000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736</v>
      </c>
      <c r="H107" s="36">
        <f t="shared" si="8"/>
        <v>1</v>
      </c>
      <c r="I107" s="11">
        <f t="shared" si="9"/>
        <v>66513090</v>
      </c>
      <c r="J107" s="53">
        <f t="shared" si="10"/>
        <v>55209525</v>
      </c>
      <c r="K107" s="53">
        <f t="shared" si="11"/>
        <v>11303565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734</v>
      </c>
      <c r="H108" s="36">
        <f t="shared" si="8"/>
        <v>0</v>
      </c>
      <c r="I108" s="11">
        <f t="shared" si="9"/>
        <v>-1248313800</v>
      </c>
      <c r="J108" s="53">
        <f t="shared" si="10"/>
        <v>0</v>
      </c>
      <c r="K108" s="53">
        <f t="shared" si="11"/>
        <v>-1248313800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730</v>
      </c>
      <c r="H109" s="36">
        <f t="shared" si="8"/>
        <v>0</v>
      </c>
      <c r="I109" s="11">
        <f t="shared" si="9"/>
        <v>-730365000</v>
      </c>
      <c r="J109" s="53">
        <f t="shared" si="10"/>
        <v>0</v>
      </c>
      <c r="K109" s="53">
        <f t="shared" si="11"/>
        <v>-730365000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727</v>
      </c>
      <c r="H110" s="36">
        <f t="shared" si="8"/>
        <v>1</v>
      </c>
      <c r="I110" s="11">
        <f t="shared" si="9"/>
        <v>14520000000</v>
      </c>
      <c r="J110" s="53">
        <f t="shared" si="10"/>
        <v>0</v>
      </c>
      <c r="K110" s="53">
        <f t="shared" si="11"/>
        <v>14520000000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707</v>
      </c>
      <c r="H111" s="36">
        <f t="shared" si="8"/>
        <v>1</v>
      </c>
      <c r="I111" s="11">
        <f t="shared" si="9"/>
        <v>123322668</v>
      </c>
      <c r="J111" s="53">
        <f t="shared" si="10"/>
        <v>61678278</v>
      </c>
      <c r="K111" s="53">
        <f t="shared" si="11"/>
        <v>61644390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691</v>
      </c>
      <c r="H112" s="36">
        <f t="shared" si="8"/>
        <v>0</v>
      </c>
      <c r="I112" s="11">
        <f t="shared" si="9"/>
        <v>-19624400000</v>
      </c>
      <c r="J112" s="53">
        <f t="shared" si="10"/>
        <v>0</v>
      </c>
      <c r="K112" s="53">
        <f t="shared" si="11"/>
        <v>-19624400000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676</v>
      </c>
      <c r="H113" s="36">
        <f t="shared" si="8"/>
        <v>1</v>
      </c>
      <c r="I113" s="11">
        <f t="shared" si="9"/>
        <v>110052000</v>
      </c>
      <c r="J113" s="53">
        <f t="shared" si="10"/>
        <v>82694925</v>
      </c>
      <c r="K113" s="53">
        <f t="shared" si="11"/>
        <v>27357075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676</v>
      </c>
      <c r="H114" s="36">
        <f t="shared" si="8"/>
        <v>0</v>
      </c>
      <c r="I114" s="11">
        <f t="shared" si="9"/>
        <v>-3853200</v>
      </c>
      <c r="J114" s="53">
        <f t="shared" si="10"/>
        <v>-1690000</v>
      </c>
      <c r="K114" s="53">
        <f t="shared" si="11"/>
        <v>-2163200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663</v>
      </c>
      <c r="H115" s="36">
        <f t="shared" si="8"/>
        <v>0</v>
      </c>
      <c r="I115" s="11">
        <f t="shared" si="9"/>
        <v>0</v>
      </c>
      <c r="J115" s="53">
        <f t="shared" si="10"/>
        <v>331500000</v>
      </c>
      <c r="K115" s="53">
        <f t="shared" si="11"/>
        <v>-331500000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655</v>
      </c>
      <c r="H116" s="36">
        <f t="shared" si="8"/>
        <v>0</v>
      </c>
      <c r="I116" s="11">
        <f t="shared" si="9"/>
        <v>-104800000</v>
      </c>
      <c r="J116" s="53">
        <f t="shared" si="10"/>
        <v>0</v>
      </c>
      <c r="K116" s="53">
        <f t="shared" si="11"/>
        <v>-104800000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646</v>
      </c>
      <c r="H117" s="36">
        <f t="shared" si="8"/>
        <v>1</v>
      </c>
      <c r="I117" s="11">
        <f t="shared" si="9"/>
        <v>954600</v>
      </c>
      <c r="J117" s="53">
        <f t="shared" si="10"/>
        <v>68976945</v>
      </c>
      <c r="K117" s="53">
        <f t="shared" si="11"/>
        <v>-68022345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624</v>
      </c>
      <c r="H118" s="36">
        <f t="shared" si="8"/>
        <v>1</v>
      </c>
      <c r="I118" s="11">
        <f t="shared" si="9"/>
        <v>24545888500</v>
      </c>
      <c r="J118" s="53">
        <f t="shared" si="10"/>
        <v>0</v>
      </c>
      <c r="K118" s="53">
        <f t="shared" si="11"/>
        <v>24545888500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615</v>
      </c>
      <c r="H119" s="36">
        <f t="shared" si="8"/>
        <v>1</v>
      </c>
      <c r="I119" s="11">
        <f t="shared" si="9"/>
        <v>58649894</v>
      </c>
      <c r="J119" s="53">
        <f t="shared" si="10"/>
        <v>67573156</v>
      </c>
      <c r="K119" s="53">
        <f t="shared" si="11"/>
        <v>-8923262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611</v>
      </c>
      <c r="H120" s="11">
        <f t="shared" si="8"/>
        <v>1</v>
      </c>
      <c r="I120" s="11">
        <f t="shared" ref="I120:I296" si="13">B120*(G120-H120)</f>
        <v>1220000000</v>
      </c>
      <c r="J120" s="11">
        <f t="shared" si="10"/>
        <v>0</v>
      </c>
      <c r="K120" s="11">
        <f t="shared" si="11"/>
        <v>1220000000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585</v>
      </c>
      <c r="H121" s="11">
        <f t="shared" si="8"/>
        <v>1</v>
      </c>
      <c r="I121" s="11">
        <f t="shared" si="13"/>
        <v>1518400000</v>
      </c>
      <c r="J121" s="11">
        <f t="shared" si="10"/>
        <v>0</v>
      </c>
      <c r="K121" s="11">
        <f t="shared" si="11"/>
        <v>1518400000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584</v>
      </c>
      <c r="H122" s="11">
        <f t="shared" si="8"/>
        <v>1</v>
      </c>
      <c r="I122" s="11">
        <f t="shared" si="13"/>
        <v>224193233</v>
      </c>
      <c r="J122" s="11">
        <f t="shared" si="10"/>
        <v>64659364</v>
      </c>
      <c r="K122" s="11">
        <f t="shared" si="11"/>
        <v>159533869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583</v>
      </c>
      <c r="H123" s="11">
        <f t="shared" si="8"/>
        <v>0</v>
      </c>
      <c r="I123" s="11">
        <f t="shared" si="13"/>
        <v>0</v>
      </c>
      <c r="J123" s="11">
        <f t="shared" si="10"/>
        <v>466400000</v>
      </c>
      <c r="K123" s="11">
        <f t="shared" si="11"/>
        <v>-466400000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569</v>
      </c>
      <c r="H124" s="11">
        <f t="shared" si="8"/>
        <v>0</v>
      </c>
      <c r="I124" s="11">
        <f t="shared" si="13"/>
        <v>-1707000000</v>
      </c>
      <c r="J124" s="11">
        <f t="shared" si="10"/>
        <v>0</v>
      </c>
      <c r="K124" s="11">
        <f t="shared" si="11"/>
        <v>-1707000000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554</v>
      </c>
      <c r="H125" s="11">
        <f t="shared" si="8"/>
        <v>1</v>
      </c>
      <c r="I125" s="11">
        <f t="shared" si="13"/>
        <v>221592630</v>
      </c>
      <c r="J125" s="11">
        <f t="shared" si="10"/>
        <v>65737875</v>
      </c>
      <c r="K125" s="11">
        <f t="shared" si="11"/>
        <v>155854755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554</v>
      </c>
      <c r="H126" s="11">
        <f t="shared" si="8"/>
        <v>1</v>
      </c>
      <c r="I126" s="11">
        <f t="shared" si="13"/>
        <v>23226000000</v>
      </c>
      <c r="J126" s="11">
        <f t="shared" si="10"/>
        <v>0</v>
      </c>
      <c r="K126" s="11">
        <f t="shared" si="11"/>
        <v>23226000000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529</v>
      </c>
      <c r="H127" s="11">
        <f t="shared" si="8"/>
        <v>0</v>
      </c>
      <c r="I127" s="11">
        <f t="shared" si="13"/>
        <v>-2645000</v>
      </c>
      <c r="J127" s="11">
        <f t="shared" si="10"/>
        <v>0</v>
      </c>
      <c r="K127" s="11">
        <f t="shared" si="11"/>
        <v>-2645000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523</v>
      </c>
      <c r="H128" s="11">
        <f t="shared" si="8"/>
        <v>1</v>
      </c>
      <c r="I128" s="11">
        <f t="shared" si="13"/>
        <v>402657228</v>
      </c>
      <c r="J128" s="11">
        <f t="shared" si="10"/>
        <v>63003834</v>
      </c>
      <c r="K128" s="11">
        <f t="shared" si="11"/>
        <v>339653394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520</v>
      </c>
      <c r="H129" s="11">
        <f t="shared" si="8"/>
        <v>1</v>
      </c>
      <c r="I129" s="11">
        <f t="shared" si="13"/>
        <v>1297500000</v>
      </c>
      <c r="J129" s="11">
        <f t="shared" si="10"/>
        <v>0</v>
      </c>
      <c r="K129" s="11">
        <f t="shared" si="11"/>
        <v>1297500000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506</v>
      </c>
      <c r="H130" s="11">
        <f t="shared" si="8"/>
        <v>0</v>
      </c>
      <c r="I130" s="11">
        <f t="shared" si="13"/>
        <v>-506000000</v>
      </c>
      <c r="J130" s="11">
        <f t="shared" si="10"/>
        <v>-506000000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501</v>
      </c>
      <c r="H131" s="11">
        <f t="shared" si="8"/>
        <v>0</v>
      </c>
      <c r="I131" s="11">
        <f t="shared" si="13"/>
        <v>-25050000000</v>
      </c>
      <c r="J131" s="11">
        <f t="shared" si="10"/>
        <v>0</v>
      </c>
      <c r="K131" s="11">
        <f t="shared" si="11"/>
        <v>-25050000000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493</v>
      </c>
      <c r="H132" s="11">
        <f t="shared" ref="H132:H308" si="15">IF(B132&gt;0,1,0)</f>
        <v>1</v>
      </c>
      <c r="I132" s="11">
        <f t="shared" si="13"/>
        <v>302229204</v>
      </c>
      <c r="J132" s="11">
        <f t="shared" ref="J132:J206" si="16">C132*(G132-H132)</f>
        <v>52137732</v>
      </c>
      <c r="K132" s="11">
        <f t="shared" ref="K132:K281" si="17">D132*(G132-H132)</f>
        <v>250091472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489</v>
      </c>
      <c r="H133" s="11">
        <f t="shared" si="15"/>
        <v>0</v>
      </c>
      <c r="I133" s="11">
        <f t="shared" si="13"/>
        <v>-592032300</v>
      </c>
      <c r="J133" s="11">
        <f t="shared" si="16"/>
        <v>0</v>
      </c>
      <c r="K133" s="11">
        <f t="shared" si="17"/>
        <v>-592032300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480</v>
      </c>
      <c r="H134" s="11">
        <f t="shared" si="15"/>
        <v>0</v>
      </c>
      <c r="I134" s="11">
        <f t="shared" si="13"/>
        <v>-31200000</v>
      </c>
      <c r="J134" s="11">
        <f t="shared" si="16"/>
        <v>0</v>
      </c>
      <c r="K134" s="11">
        <f t="shared" si="17"/>
        <v>-31200000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480</v>
      </c>
      <c r="H135" s="11">
        <f t="shared" si="15"/>
        <v>0</v>
      </c>
      <c r="I135" s="11">
        <f t="shared" si="13"/>
        <v>-15504000</v>
      </c>
      <c r="J135" s="11">
        <f t="shared" si="16"/>
        <v>0</v>
      </c>
      <c r="K135" s="11">
        <f t="shared" si="17"/>
        <v>-15504000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472</v>
      </c>
      <c r="H136" s="11">
        <f t="shared" si="15"/>
        <v>0</v>
      </c>
      <c r="I136" s="11">
        <f t="shared" si="13"/>
        <v>-472000000</v>
      </c>
      <c r="J136" s="11">
        <f t="shared" si="16"/>
        <v>-472000000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463</v>
      </c>
      <c r="H137" s="11">
        <f t="shared" si="15"/>
        <v>1</v>
      </c>
      <c r="I137" s="11">
        <f t="shared" si="13"/>
        <v>134383326</v>
      </c>
      <c r="J137" s="11">
        <f t="shared" si="16"/>
        <v>44979858</v>
      </c>
      <c r="K137" s="11">
        <f t="shared" si="17"/>
        <v>89403468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446</v>
      </c>
      <c r="H138" s="11">
        <f t="shared" si="15"/>
        <v>0</v>
      </c>
      <c r="I138" s="11">
        <f t="shared" si="13"/>
        <v>-446223000</v>
      </c>
      <c r="J138" s="11">
        <f t="shared" si="16"/>
        <v>-446223000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434</v>
      </c>
      <c r="H139" s="11">
        <f t="shared" si="15"/>
        <v>1</v>
      </c>
      <c r="I139" s="11">
        <f t="shared" si="13"/>
        <v>122209920</v>
      </c>
      <c r="J139" s="11">
        <f t="shared" si="16"/>
        <v>38453431</v>
      </c>
      <c r="K139" s="11">
        <f t="shared" si="17"/>
        <v>83756489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431</v>
      </c>
      <c r="H140" s="11">
        <f t="shared" si="15"/>
        <v>1</v>
      </c>
      <c r="I140" s="11">
        <f t="shared" si="13"/>
        <v>645000000</v>
      </c>
      <c r="J140" s="11">
        <f t="shared" si="16"/>
        <v>0</v>
      </c>
      <c r="K140" s="11">
        <f t="shared" si="17"/>
        <v>645000000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418</v>
      </c>
      <c r="H141" s="11">
        <f t="shared" si="15"/>
        <v>0</v>
      </c>
      <c r="I141" s="11">
        <f t="shared" si="13"/>
        <v>0</v>
      </c>
      <c r="J141" s="11">
        <f t="shared" si="16"/>
        <v>-418000000</v>
      </c>
      <c r="K141" s="11">
        <f t="shared" si="17"/>
        <v>418000000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404</v>
      </c>
      <c r="H142" s="11">
        <f t="shared" si="15"/>
        <v>1</v>
      </c>
      <c r="I142" s="11">
        <f t="shared" si="13"/>
        <v>117229879</v>
      </c>
      <c r="J142" s="11">
        <f t="shared" si="16"/>
        <v>32651866</v>
      </c>
      <c r="K142" s="11">
        <f t="shared" si="17"/>
        <v>84578013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384</v>
      </c>
      <c r="H143" s="11">
        <f t="shared" si="15"/>
        <v>0</v>
      </c>
      <c r="I143" s="11">
        <f t="shared" si="13"/>
        <v>0</v>
      </c>
      <c r="J143" s="11">
        <f t="shared" si="16"/>
        <v>-384000000</v>
      </c>
      <c r="K143" s="11">
        <f t="shared" si="17"/>
        <v>384000000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374</v>
      </c>
      <c r="H144" s="11">
        <f t="shared" si="15"/>
        <v>1</v>
      </c>
      <c r="I144" s="11">
        <f t="shared" si="13"/>
        <v>109979796</v>
      </c>
      <c r="J144" s="11">
        <f t="shared" si="16"/>
        <v>27847061</v>
      </c>
      <c r="K144" s="11">
        <f t="shared" si="17"/>
        <v>82132735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359</v>
      </c>
      <c r="H145" s="11">
        <f t="shared" si="15"/>
        <v>0</v>
      </c>
      <c r="I145" s="11">
        <f t="shared" si="13"/>
        <v>-3590000</v>
      </c>
      <c r="J145" s="11">
        <f t="shared" si="16"/>
        <v>-1795000</v>
      </c>
      <c r="K145" s="11">
        <f t="shared" si="17"/>
        <v>-1795000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354</v>
      </c>
      <c r="H146" s="11">
        <f t="shared" si="15"/>
        <v>0</v>
      </c>
      <c r="I146" s="11">
        <f t="shared" si="13"/>
        <v>-354177000</v>
      </c>
      <c r="J146" s="11">
        <f t="shared" si="16"/>
        <v>-354177000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348</v>
      </c>
      <c r="H147" s="11">
        <f t="shared" si="15"/>
        <v>0</v>
      </c>
      <c r="I147" s="11">
        <f t="shared" si="13"/>
        <v>-9396000000</v>
      </c>
      <c r="J147" s="11">
        <f t="shared" si="16"/>
        <v>0</v>
      </c>
      <c r="K147" s="11">
        <f t="shared" si="17"/>
        <v>-9396000000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345</v>
      </c>
      <c r="H148" s="11">
        <f t="shared" si="15"/>
        <v>1</v>
      </c>
      <c r="I148" s="11">
        <f t="shared" si="13"/>
        <v>86837984</v>
      </c>
      <c r="J148" s="11">
        <f t="shared" si="16"/>
        <v>22535440</v>
      </c>
      <c r="K148" s="11">
        <f t="shared" si="17"/>
        <v>64302544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337</v>
      </c>
      <c r="H149" s="11">
        <f t="shared" si="15"/>
        <v>1</v>
      </c>
      <c r="I149" s="11">
        <f t="shared" si="13"/>
        <v>17606400000</v>
      </c>
      <c r="J149" s="11">
        <f t="shared" si="16"/>
        <v>0</v>
      </c>
      <c r="K149" s="11">
        <f t="shared" si="17"/>
        <v>17606400000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330</v>
      </c>
      <c r="H150" s="11">
        <f t="shared" si="15"/>
        <v>0</v>
      </c>
      <c r="I150" s="11">
        <f t="shared" si="13"/>
        <v>-17160000000</v>
      </c>
      <c r="J150" s="11">
        <f t="shared" si="16"/>
        <v>0</v>
      </c>
      <c r="K150" s="11">
        <f t="shared" si="17"/>
        <v>-17160000000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325</v>
      </c>
      <c r="H151" s="99">
        <f t="shared" si="15"/>
        <v>0</v>
      </c>
      <c r="I151" s="99">
        <f t="shared" si="13"/>
        <v>-2600000000</v>
      </c>
      <c r="J151" s="99">
        <f t="shared" si="16"/>
        <v>-2200942575</v>
      </c>
      <c r="K151" s="11">
        <f t="shared" si="17"/>
        <v>-399057425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325</v>
      </c>
      <c r="H152" s="99">
        <f t="shared" si="15"/>
        <v>0</v>
      </c>
      <c r="I152" s="99">
        <f t="shared" si="13"/>
        <v>-10149750</v>
      </c>
      <c r="J152" s="99">
        <f t="shared" si="16"/>
        <v>0</v>
      </c>
      <c r="K152" s="99">
        <f t="shared" si="17"/>
        <v>-10149750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314</v>
      </c>
      <c r="H153" s="99">
        <f t="shared" si="15"/>
        <v>1</v>
      </c>
      <c r="I153" s="99">
        <f t="shared" si="13"/>
        <v>42282231</v>
      </c>
      <c r="J153" s="99">
        <f t="shared" si="16"/>
        <v>12873690</v>
      </c>
      <c r="K153" s="99">
        <f t="shared" si="17"/>
        <v>29408541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311</v>
      </c>
      <c r="H154" s="99">
        <f t="shared" si="15"/>
        <v>1</v>
      </c>
      <c r="I154" s="99">
        <f t="shared" si="13"/>
        <v>2115465420</v>
      </c>
      <c r="J154" s="99">
        <f t="shared" si="16"/>
        <v>2115465420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306</v>
      </c>
      <c r="H155" s="99">
        <f t="shared" si="15"/>
        <v>0</v>
      </c>
      <c r="I155" s="99">
        <f t="shared" si="13"/>
        <v>-61200000</v>
      </c>
      <c r="J155" s="99">
        <f t="shared" si="16"/>
        <v>0</v>
      </c>
      <c r="K155" s="99">
        <f t="shared" si="17"/>
        <v>-61200000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306</v>
      </c>
      <c r="H156" s="99">
        <f t="shared" si="15"/>
        <v>0</v>
      </c>
      <c r="I156" s="99">
        <f t="shared" si="13"/>
        <v>-75839040</v>
      </c>
      <c r="J156" s="99">
        <f t="shared" si="16"/>
        <v>0</v>
      </c>
      <c r="K156" s="99">
        <f t="shared" si="17"/>
        <v>-75839040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305</v>
      </c>
      <c r="H157" s="99">
        <f t="shared" si="15"/>
        <v>0</v>
      </c>
      <c r="I157" s="99">
        <f t="shared" si="13"/>
        <v>-49513700</v>
      </c>
      <c r="J157" s="99">
        <f t="shared" si="16"/>
        <v>0</v>
      </c>
      <c r="K157" s="99">
        <f t="shared" si="17"/>
        <v>-49513700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305</v>
      </c>
      <c r="H158" s="99">
        <f t="shared" si="15"/>
        <v>0</v>
      </c>
      <c r="I158" s="99">
        <f t="shared" si="13"/>
        <v>-915274500</v>
      </c>
      <c r="J158" s="99">
        <f t="shared" si="16"/>
        <v>0</v>
      </c>
      <c r="K158" s="99">
        <f t="shared" si="17"/>
        <v>-915274500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303</v>
      </c>
      <c r="H159" s="99">
        <f t="shared" si="15"/>
        <v>0</v>
      </c>
      <c r="I159" s="99">
        <f t="shared" si="13"/>
        <v>-303151500</v>
      </c>
      <c r="J159" s="99">
        <f t="shared" si="16"/>
        <v>0</v>
      </c>
      <c r="K159" s="99">
        <f t="shared" si="17"/>
        <v>-303151500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299</v>
      </c>
      <c r="H160" s="99">
        <f t="shared" si="15"/>
        <v>0</v>
      </c>
      <c r="I160" s="99">
        <f t="shared" si="13"/>
        <v>-29900000</v>
      </c>
      <c r="J160" s="99">
        <f t="shared" si="16"/>
        <v>0</v>
      </c>
      <c r="K160" s="99">
        <f t="shared" si="17"/>
        <v>-29900000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298</v>
      </c>
      <c r="H161" s="99">
        <f t="shared" si="15"/>
        <v>0</v>
      </c>
      <c r="I161" s="99">
        <f t="shared" si="13"/>
        <v>-596000000</v>
      </c>
      <c r="J161" s="99">
        <f t="shared" si="16"/>
        <v>0</v>
      </c>
      <c r="K161" s="99">
        <f t="shared" si="17"/>
        <v>-596000000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298</v>
      </c>
      <c r="H162" s="99">
        <f t="shared" si="15"/>
        <v>0</v>
      </c>
      <c r="I162" s="99">
        <f t="shared" si="13"/>
        <v>-298149000</v>
      </c>
      <c r="J162" s="99">
        <f t="shared" si="16"/>
        <v>0</v>
      </c>
      <c r="K162" s="99">
        <f t="shared" si="17"/>
        <v>-298149000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295</v>
      </c>
      <c r="H163" s="99">
        <f t="shared" si="15"/>
        <v>0</v>
      </c>
      <c r="I163" s="99">
        <f t="shared" si="13"/>
        <v>-1475000</v>
      </c>
      <c r="J163" s="99">
        <f t="shared" si="16"/>
        <v>0</v>
      </c>
      <c r="K163" s="99">
        <f t="shared" si="17"/>
        <v>-1475000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285</v>
      </c>
      <c r="H164" s="99">
        <f t="shared" si="15"/>
        <v>1</v>
      </c>
      <c r="I164" s="99">
        <f t="shared" si="13"/>
        <v>852000000</v>
      </c>
      <c r="J164" s="99">
        <f t="shared" si="16"/>
        <v>0</v>
      </c>
      <c r="K164" s="99">
        <f t="shared" si="17"/>
        <v>852000000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284</v>
      </c>
      <c r="H165" s="99">
        <f t="shared" si="15"/>
        <v>1</v>
      </c>
      <c r="I165" s="99">
        <f t="shared" si="13"/>
        <v>849000000</v>
      </c>
      <c r="J165" s="99">
        <f t="shared" si="16"/>
        <v>0</v>
      </c>
      <c r="K165" s="99">
        <f t="shared" si="17"/>
        <v>849000000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283</v>
      </c>
      <c r="H166" s="99">
        <f t="shared" si="15"/>
        <v>1</v>
      </c>
      <c r="I166" s="99">
        <f t="shared" si="13"/>
        <v>5728548</v>
      </c>
      <c r="J166" s="99">
        <f t="shared" si="16"/>
        <v>16875444</v>
      </c>
      <c r="K166" s="99">
        <f t="shared" si="17"/>
        <v>-11146896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278</v>
      </c>
      <c r="H167" s="99">
        <f t="shared" si="15"/>
        <v>0</v>
      </c>
      <c r="I167" s="99">
        <f t="shared" si="13"/>
        <v>-834250200</v>
      </c>
      <c r="J167" s="99">
        <f t="shared" si="16"/>
        <v>0</v>
      </c>
      <c r="K167" s="99">
        <f t="shared" si="17"/>
        <v>-834250200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260</v>
      </c>
      <c r="H168" s="99">
        <f t="shared" si="15"/>
        <v>0</v>
      </c>
      <c r="I168" s="99">
        <f t="shared" si="13"/>
        <v>-780234000</v>
      </c>
      <c r="J168" s="99">
        <f t="shared" si="16"/>
        <v>0</v>
      </c>
      <c r="K168" s="99">
        <f t="shared" si="17"/>
        <v>-780234000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252</v>
      </c>
      <c r="H169" s="99">
        <f t="shared" si="15"/>
        <v>1</v>
      </c>
      <c r="I169" s="99">
        <f t="shared" si="13"/>
        <v>5447955</v>
      </c>
      <c r="J169" s="99">
        <f t="shared" si="16"/>
        <v>17197265</v>
      </c>
      <c r="K169" s="99">
        <f t="shared" si="17"/>
        <v>-11749310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228</v>
      </c>
      <c r="H170" s="99">
        <f t="shared" si="15"/>
        <v>1</v>
      </c>
      <c r="I170" s="99">
        <f t="shared" si="13"/>
        <v>1135000000</v>
      </c>
      <c r="J170" s="99">
        <f t="shared" si="16"/>
        <v>0</v>
      </c>
      <c r="K170" s="99">
        <f t="shared" si="17"/>
        <v>1135000000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227</v>
      </c>
      <c r="H171" s="99">
        <f t="shared" si="15"/>
        <v>0</v>
      </c>
      <c r="I171" s="99">
        <f t="shared" si="13"/>
        <v>-1135000000</v>
      </c>
      <c r="J171" s="99">
        <f t="shared" si="16"/>
        <v>0</v>
      </c>
      <c r="K171" s="99">
        <f t="shared" si="17"/>
        <v>-1135000000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221</v>
      </c>
      <c r="H172" s="99">
        <f t="shared" si="15"/>
        <v>1</v>
      </c>
      <c r="I172" s="99">
        <f t="shared" si="13"/>
        <v>109120</v>
      </c>
      <c r="J172" s="99">
        <f t="shared" si="16"/>
        <v>13789820</v>
      </c>
      <c r="K172" s="99">
        <f t="shared" si="17"/>
        <v>-13680700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220</v>
      </c>
      <c r="H173" s="99">
        <f t="shared" si="15"/>
        <v>1</v>
      </c>
      <c r="I173" s="99">
        <f t="shared" si="13"/>
        <v>171915000</v>
      </c>
      <c r="J173" s="99">
        <f t="shared" si="16"/>
        <v>0</v>
      </c>
      <c r="K173" s="99">
        <f t="shared" si="17"/>
        <v>171915000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209</v>
      </c>
      <c r="H174" s="99">
        <f t="shared" si="15"/>
        <v>0</v>
      </c>
      <c r="I174" s="99">
        <f t="shared" si="13"/>
        <v>-6688000</v>
      </c>
      <c r="J174" s="99">
        <f t="shared" si="16"/>
        <v>0</v>
      </c>
      <c r="K174" s="99">
        <f t="shared" si="17"/>
        <v>-6688000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207</v>
      </c>
      <c r="H175" s="99">
        <f t="shared" si="15"/>
        <v>0</v>
      </c>
      <c r="I175" s="99">
        <f t="shared" si="13"/>
        <v>-155250000</v>
      </c>
      <c r="J175" s="99">
        <f t="shared" si="16"/>
        <v>0</v>
      </c>
      <c r="K175" s="99">
        <f t="shared" si="17"/>
        <v>-155250000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198</v>
      </c>
      <c r="H176" s="99">
        <f t="shared" si="15"/>
        <v>0</v>
      </c>
      <c r="I176" s="99">
        <f t="shared" si="13"/>
        <v>-1860408</v>
      </c>
      <c r="J176" s="99">
        <f t="shared" si="16"/>
        <v>0</v>
      </c>
      <c r="K176" s="99">
        <f t="shared" si="17"/>
        <v>-1860408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197</v>
      </c>
      <c r="H177" s="99">
        <f t="shared" si="15"/>
        <v>0</v>
      </c>
      <c r="I177" s="99">
        <f t="shared" si="13"/>
        <v>-8530100</v>
      </c>
      <c r="J177" s="99">
        <f t="shared" si="16"/>
        <v>0</v>
      </c>
      <c r="K177" s="99">
        <f t="shared" si="17"/>
        <v>-8530100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194</v>
      </c>
      <c r="H178" s="99">
        <f t="shared" si="15"/>
        <v>1</v>
      </c>
      <c r="I178" s="99">
        <f t="shared" si="13"/>
        <v>69480000</v>
      </c>
      <c r="J178" s="99">
        <f t="shared" si="16"/>
        <v>0</v>
      </c>
      <c r="K178" s="99">
        <f t="shared" si="17"/>
        <v>69480000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192</v>
      </c>
      <c r="H179" s="99">
        <f t="shared" si="15"/>
        <v>1</v>
      </c>
      <c r="I179" s="99">
        <f t="shared" si="13"/>
        <v>573000000</v>
      </c>
      <c r="J179" s="99">
        <f t="shared" si="16"/>
        <v>0</v>
      </c>
      <c r="K179" s="99">
        <f t="shared" si="17"/>
        <v>573000000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192</v>
      </c>
      <c r="H180" s="99">
        <f t="shared" si="15"/>
        <v>0</v>
      </c>
      <c r="I180" s="99">
        <f t="shared" si="13"/>
        <v>-2313600</v>
      </c>
      <c r="J180" s="99">
        <f t="shared" si="16"/>
        <v>0</v>
      </c>
      <c r="K180" s="99">
        <f t="shared" si="17"/>
        <v>-2313600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190</v>
      </c>
      <c r="H181" s="99">
        <f t="shared" si="15"/>
        <v>1</v>
      </c>
      <c r="I181" s="99">
        <f t="shared" si="13"/>
        <v>567000000</v>
      </c>
      <c r="J181" s="99">
        <f t="shared" si="16"/>
        <v>0</v>
      </c>
      <c r="K181" s="99">
        <f t="shared" si="17"/>
        <v>567000000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188</v>
      </c>
      <c r="H182" s="99">
        <f t="shared" si="15"/>
        <v>0</v>
      </c>
      <c r="I182" s="99">
        <f t="shared" si="13"/>
        <v>-6730400</v>
      </c>
      <c r="J182" s="99">
        <f t="shared" si="16"/>
        <v>0</v>
      </c>
      <c r="K182" s="99">
        <f t="shared" si="17"/>
        <v>-6730400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187</v>
      </c>
      <c r="H183" s="99">
        <f t="shared" si="15"/>
        <v>1</v>
      </c>
      <c r="I183" s="99">
        <f t="shared" si="13"/>
        <v>669600000</v>
      </c>
      <c r="J183" s="99">
        <f t="shared" si="16"/>
        <v>0</v>
      </c>
      <c r="K183" s="99">
        <f t="shared" si="17"/>
        <v>669600000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187</v>
      </c>
      <c r="H184" s="99">
        <f t="shared" si="15"/>
        <v>0</v>
      </c>
      <c r="I184" s="99">
        <f t="shared" si="13"/>
        <v>-6241499</v>
      </c>
      <c r="J184" s="99">
        <f t="shared" si="16"/>
        <v>0</v>
      </c>
      <c r="K184" s="99">
        <f t="shared" si="17"/>
        <v>-6241499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184</v>
      </c>
      <c r="H185" s="99">
        <f t="shared" si="15"/>
        <v>0</v>
      </c>
      <c r="I185" s="99">
        <f t="shared" si="13"/>
        <v>-1803200000</v>
      </c>
      <c r="J185" s="99">
        <f t="shared" si="16"/>
        <v>0</v>
      </c>
      <c r="K185" s="99">
        <f t="shared" si="17"/>
        <v>-1803200000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184</v>
      </c>
      <c r="H186" s="99">
        <f t="shared" si="15"/>
        <v>1</v>
      </c>
      <c r="I186" s="99">
        <f t="shared" si="13"/>
        <v>3294000000</v>
      </c>
      <c r="J186" s="99">
        <f t="shared" si="16"/>
        <v>0</v>
      </c>
      <c r="K186" s="99">
        <f t="shared" si="17"/>
        <v>3294000000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184</v>
      </c>
      <c r="H187" s="99">
        <f t="shared" si="15"/>
        <v>0</v>
      </c>
      <c r="I187" s="99">
        <f t="shared" si="13"/>
        <v>-1656000000</v>
      </c>
      <c r="J187" s="99">
        <f t="shared" si="16"/>
        <v>0</v>
      </c>
      <c r="K187" s="99">
        <f t="shared" si="17"/>
        <v>-1656000000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184</v>
      </c>
      <c r="H188" s="99">
        <f t="shared" si="15"/>
        <v>0</v>
      </c>
      <c r="I188" s="99">
        <f t="shared" si="13"/>
        <v>-2134400</v>
      </c>
      <c r="J188" s="99">
        <f t="shared" si="16"/>
        <v>0</v>
      </c>
      <c r="K188" s="99">
        <f t="shared" si="17"/>
        <v>-2134400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184</v>
      </c>
      <c r="H189" s="99">
        <f t="shared" si="15"/>
        <v>0</v>
      </c>
      <c r="I189" s="99">
        <f t="shared" si="13"/>
        <v>-607996168</v>
      </c>
      <c r="J189" s="99">
        <f t="shared" si="16"/>
        <v>0</v>
      </c>
      <c r="K189" s="99">
        <f t="shared" si="17"/>
        <v>-607996168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183</v>
      </c>
      <c r="H190" s="99">
        <f t="shared" si="15"/>
        <v>0</v>
      </c>
      <c r="I190" s="99">
        <f t="shared" si="13"/>
        <v>-549164700</v>
      </c>
      <c r="J190" s="99">
        <f t="shared" si="16"/>
        <v>0</v>
      </c>
      <c r="K190" s="99">
        <f t="shared" si="17"/>
        <v>-549164700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182</v>
      </c>
      <c r="H191" s="99">
        <f t="shared" si="15"/>
        <v>0</v>
      </c>
      <c r="I191" s="99">
        <f t="shared" si="13"/>
        <v>-502483800</v>
      </c>
      <c r="J191" s="99">
        <f t="shared" si="16"/>
        <v>0</v>
      </c>
      <c r="K191" s="99">
        <f t="shared" si="17"/>
        <v>-502483800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177</v>
      </c>
      <c r="H192" s="99">
        <f t="shared" si="15"/>
        <v>1</v>
      </c>
      <c r="I192" s="99">
        <f t="shared" si="13"/>
        <v>176000000</v>
      </c>
      <c r="J192" s="99">
        <f t="shared" si="16"/>
        <v>0</v>
      </c>
      <c r="K192" s="99">
        <f t="shared" si="17"/>
        <v>176000000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176</v>
      </c>
      <c r="H193" s="99">
        <f t="shared" si="15"/>
        <v>0</v>
      </c>
      <c r="I193" s="99">
        <f t="shared" si="13"/>
        <v>-2640000</v>
      </c>
      <c r="J193" s="99">
        <f t="shared" si="16"/>
        <v>0</v>
      </c>
      <c r="K193" s="99">
        <f t="shared" si="17"/>
        <v>-2640000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174</v>
      </c>
      <c r="H194" s="99">
        <f t="shared" si="15"/>
        <v>0</v>
      </c>
      <c r="I194" s="99">
        <f t="shared" si="13"/>
        <v>-172260000</v>
      </c>
      <c r="J194" s="99">
        <f t="shared" si="16"/>
        <v>0</v>
      </c>
      <c r="K194" s="99">
        <f t="shared" si="17"/>
        <v>-172260000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174</v>
      </c>
      <c r="H195" s="99">
        <f t="shared" si="15"/>
        <v>1</v>
      </c>
      <c r="I195" s="99">
        <f t="shared" si="13"/>
        <v>135459000</v>
      </c>
      <c r="J195" s="99">
        <f t="shared" si="16"/>
        <v>0</v>
      </c>
      <c r="K195" s="99">
        <f t="shared" si="17"/>
        <v>135459000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172</v>
      </c>
      <c r="H196" s="99">
        <f t="shared" si="15"/>
        <v>0</v>
      </c>
      <c r="I196" s="99">
        <f t="shared" si="13"/>
        <v>-129086000</v>
      </c>
      <c r="J196" s="99">
        <f t="shared" si="16"/>
        <v>0</v>
      </c>
      <c r="K196" s="99">
        <f t="shared" si="17"/>
        <v>-129086000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170</v>
      </c>
      <c r="H197" s="99">
        <f t="shared" si="15"/>
        <v>1</v>
      </c>
      <c r="I197" s="99">
        <f t="shared" si="13"/>
        <v>118300000</v>
      </c>
      <c r="J197" s="99">
        <f t="shared" si="16"/>
        <v>0</v>
      </c>
      <c r="K197" s="99">
        <f t="shared" si="17"/>
        <v>118300000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170</v>
      </c>
      <c r="H198" s="99">
        <f t="shared" si="15"/>
        <v>0</v>
      </c>
      <c r="I198" s="99">
        <f t="shared" si="13"/>
        <v>-16830000</v>
      </c>
      <c r="J198" s="99">
        <f t="shared" si="16"/>
        <v>0</v>
      </c>
      <c r="K198" s="99">
        <f t="shared" si="17"/>
        <v>-16830000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169</v>
      </c>
      <c r="H199" s="99">
        <f t="shared" si="15"/>
        <v>0</v>
      </c>
      <c r="I199" s="99">
        <f t="shared" si="13"/>
        <v>-34771750</v>
      </c>
      <c r="J199" s="99">
        <f t="shared" si="16"/>
        <v>0</v>
      </c>
      <c r="K199" s="99">
        <f t="shared" si="17"/>
        <v>-34771750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169</v>
      </c>
      <c r="H200" s="99">
        <f t="shared" si="15"/>
        <v>0</v>
      </c>
      <c r="I200" s="99">
        <f t="shared" si="13"/>
        <v>-16055000</v>
      </c>
      <c r="J200" s="99">
        <f t="shared" si="16"/>
        <v>0</v>
      </c>
      <c r="K200" s="99">
        <f t="shared" si="17"/>
        <v>-16055000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166</v>
      </c>
      <c r="H201" s="99">
        <f t="shared" si="15"/>
        <v>1</v>
      </c>
      <c r="I201" s="99">
        <f t="shared" si="13"/>
        <v>8027250000</v>
      </c>
      <c r="J201" s="99">
        <f t="shared" si="16"/>
        <v>0</v>
      </c>
      <c r="K201" s="99">
        <f t="shared" si="17"/>
        <v>8027250000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166</v>
      </c>
      <c r="H202" s="99">
        <f t="shared" si="15"/>
        <v>0</v>
      </c>
      <c r="I202" s="99">
        <f t="shared" si="13"/>
        <v>-498149400</v>
      </c>
      <c r="J202" s="99">
        <f t="shared" si="16"/>
        <v>0</v>
      </c>
      <c r="K202" s="99">
        <f t="shared" si="17"/>
        <v>-498149400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166</v>
      </c>
      <c r="H203" s="99">
        <f t="shared" si="15"/>
        <v>0</v>
      </c>
      <c r="I203" s="99">
        <f t="shared" si="13"/>
        <v>-830000</v>
      </c>
      <c r="J203" s="99">
        <f t="shared" si="16"/>
        <v>0</v>
      </c>
      <c r="K203" s="99">
        <f t="shared" si="17"/>
        <v>-830000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166</v>
      </c>
      <c r="H204" s="99">
        <f t="shared" si="15"/>
        <v>0</v>
      </c>
      <c r="I204" s="99">
        <f t="shared" si="13"/>
        <v>-5561000000</v>
      </c>
      <c r="J204" s="99">
        <f t="shared" si="16"/>
        <v>0</v>
      </c>
      <c r="K204" s="99">
        <f t="shared" si="17"/>
        <v>-5561000000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165</v>
      </c>
      <c r="H205" s="99">
        <f t="shared" si="15"/>
        <v>0</v>
      </c>
      <c r="I205" s="99">
        <f t="shared" si="13"/>
        <v>-2051775000</v>
      </c>
      <c r="J205" s="99">
        <f t="shared" si="16"/>
        <v>0</v>
      </c>
      <c r="K205" s="99">
        <f t="shared" si="17"/>
        <v>-2051775000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162</v>
      </c>
      <c r="H206" s="99">
        <f t="shared" si="15"/>
        <v>0</v>
      </c>
      <c r="I206" s="99">
        <f t="shared" si="13"/>
        <v>-2997000</v>
      </c>
      <c r="J206" s="99">
        <f t="shared" si="16"/>
        <v>0</v>
      </c>
      <c r="K206" s="99">
        <f t="shared" si="17"/>
        <v>-2997000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160</v>
      </c>
      <c r="H207" s="99">
        <f t="shared" si="15"/>
        <v>1</v>
      </c>
      <c r="I207" s="99">
        <f t="shared" si="13"/>
        <v>2302320</v>
      </c>
      <c r="J207" s="99">
        <f t="shared" ref="J207:J281" si="20">C207*(G207-H207)</f>
        <v>11268966</v>
      </c>
      <c r="K207" s="99">
        <f t="shared" si="17"/>
        <v>-8966646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159</v>
      </c>
      <c r="H208" s="99">
        <f t="shared" si="15"/>
        <v>1</v>
      </c>
      <c r="I208" s="99">
        <f t="shared" si="13"/>
        <v>131140000</v>
      </c>
      <c r="J208" s="99">
        <f t="shared" si="20"/>
        <v>0</v>
      </c>
      <c r="K208" s="99">
        <f t="shared" si="17"/>
        <v>131140000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157</v>
      </c>
      <c r="H209" s="99">
        <f t="shared" si="15"/>
        <v>0</v>
      </c>
      <c r="I209" s="99">
        <f t="shared" si="13"/>
        <v>-8233080</v>
      </c>
      <c r="J209" s="99">
        <f t="shared" si="20"/>
        <v>0</v>
      </c>
      <c r="K209" s="99">
        <f t="shared" si="17"/>
        <v>-8233080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156</v>
      </c>
      <c r="H210" s="99">
        <f t="shared" si="15"/>
        <v>0</v>
      </c>
      <c r="I210" s="99">
        <f t="shared" si="13"/>
        <v>-7971600</v>
      </c>
      <c r="J210" s="99">
        <f t="shared" si="20"/>
        <v>0</v>
      </c>
      <c r="K210" s="99">
        <f t="shared" si="17"/>
        <v>-7971600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155</v>
      </c>
      <c r="H211" s="99">
        <f t="shared" si="15"/>
        <v>0</v>
      </c>
      <c r="I211" s="99">
        <f t="shared" si="13"/>
        <v>-31000000</v>
      </c>
      <c r="J211" s="99">
        <f t="shared" si="20"/>
        <v>0</v>
      </c>
      <c r="K211" s="99">
        <f t="shared" si="17"/>
        <v>-31000000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154</v>
      </c>
      <c r="H212" s="99">
        <f t="shared" si="15"/>
        <v>0</v>
      </c>
      <c r="I212" s="99">
        <f t="shared" si="13"/>
        <v>-4312000</v>
      </c>
      <c r="J212" s="99">
        <f t="shared" si="20"/>
        <v>0</v>
      </c>
      <c r="K212" s="99">
        <f t="shared" si="17"/>
        <v>-4312000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153</v>
      </c>
      <c r="H213" s="99">
        <f t="shared" si="15"/>
        <v>0</v>
      </c>
      <c r="I213" s="99">
        <f t="shared" si="13"/>
        <v>-9042300</v>
      </c>
      <c r="J213" s="99">
        <f t="shared" si="20"/>
        <v>0</v>
      </c>
      <c r="K213" s="99">
        <f t="shared" si="17"/>
        <v>-9042300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152</v>
      </c>
      <c r="H214" s="99">
        <f t="shared" si="15"/>
        <v>0</v>
      </c>
      <c r="I214" s="99">
        <f t="shared" si="13"/>
        <v>-4560000</v>
      </c>
      <c r="J214" s="99">
        <f t="shared" si="20"/>
        <v>0</v>
      </c>
      <c r="K214" s="99">
        <f t="shared" si="17"/>
        <v>-4560000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152</v>
      </c>
      <c r="H215" s="99">
        <f t="shared" si="15"/>
        <v>0</v>
      </c>
      <c r="I215" s="99">
        <f t="shared" si="13"/>
        <v>-27056000</v>
      </c>
      <c r="J215" s="99">
        <f t="shared" si="20"/>
        <v>0</v>
      </c>
      <c r="K215" s="99">
        <f t="shared" si="17"/>
        <v>-27056000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151</v>
      </c>
      <c r="H216" s="99">
        <f t="shared" si="15"/>
        <v>0</v>
      </c>
      <c r="I216" s="99">
        <f t="shared" si="13"/>
        <v>-14437110</v>
      </c>
      <c r="J216" s="99">
        <f t="shared" si="20"/>
        <v>0</v>
      </c>
      <c r="K216" s="99">
        <f t="shared" si="17"/>
        <v>-14437110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148</v>
      </c>
      <c r="H217" s="99">
        <f t="shared" si="15"/>
        <v>0</v>
      </c>
      <c r="I217" s="99">
        <f t="shared" si="13"/>
        <v>-12432000</v>
      </c>
      <c r="J217" s="99">
        <f t="shared" si="20"/>
        <v>0</v>
      </c>
      <c r="K217" s="99">
        <f t="shared" si="17"/>
        <v>-12432000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146</v>
      </c>
      <c r="H218" s="99">
        <f t="shared" si="15"/>
        <v>0</v>
      </c>
      <c r="I218" s="99">
        <f t="shared" si="13"/>
        <v>-4818000</v>
      </c>
      <c r="J218" s="99">
        <f t="shared" si="20"/>
        <v>0</v>
      </c>
      <c r="K218" s="99">
        <f t="shared" si="17"/>
        <v>-4818000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143</v>
      </c>
      <c r="H219" s="99">
        <f t="shared" si="15"/>
        <v>1</v>
      </c>
      <c r="I219" s="99">
        <f t="shared" si="13"/>
        <v>219816000</v>
      </c>
      <c r="J219" s="99">
        <f t="shared" si="20"/>
        <v>0</v>
      </c>
      <c r="K219" s="99">
        <f t="shared" si="17"/>
        <v>219816000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142</v>
      </c>
      <c r="H220" s="99">
        <f t="shared" si="15"/>
        <v>0</v>
      </c>
      <c r="I220" s="99">
        <f t="shared" si="13"/>
        <v>-198899400</v>
      </c>
      <c r="J220" s="99">
        <f t="shared" si="20"/>
        <v>0</v>
      </c>
      <c r="K220" s="99">
        <f t="shared" si="17"/>
        <v>-198899400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142</v>
      </c>
      <c r="H221" s="99">
        <f t="shared" si="15"/>
        <v>0</v>
      </c>
      <c r="I221" s="99">
        <f t="shared" si="13"/>
        <v>-1420000</v>
      </c>
      <c r="J221" s="99">
        <f t="shared" si="20"/>
        <v>0</v>
      </c>
      <c r="K221" s="99">
        <f t="shared" si="17"/>
        <v>-1420000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142</v>
      </c>
      <c r="H222" s="99">
        <f t="shared" si="15"/>
        <v>0</v>
      </c>
      <c r="I222" s="99">
        <f t="shared" si="13"/>
        <v>-710000</v>
      </c>
      <c r="J222" s="99">
        <f t="shared" si="20"/>
        <v>-355000</v>
      </c>
      <c r="K222" s="99">
        <f t="shared" si="17"/>
        <v>-355000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136</v>
      </c>
      <c r="H223" s="99">
        <f t="shared" si="15"/>
        <v>0</v>
      </c>
      <c r="I223" s="99">
        <f t="shared" si="13"/>
        <v>-25840000</v>
      </c>
      <c r="J223" s="99">
        <f t="shared" si="20"/>
        <v>0</v>
      </c>
      <c r="K223" s="99">
        <f t="shared" si="17"/>
        <v>-25840000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129</v>
      </c>
      <c r="H224" s="99">
        <f t="shared" si="15"/>
        <v>1</v>
      </c>
      <c r="I224" s="99">
        <f t="shared" si="13"/>
        <v>244608</v>
      </c>
      <c r="J224" s="99">
        <f t="shared" si="20"/>
        <v>8316416</v>
      </c>
      <c r="K224" s="99">
        <f t="shared" si="17"/>
        <v>-8071808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123</v>
      </c>
      <c r="H225" s="99">
        <f t="shared" si="15"/>
        <v>1</v>
      </c>
      <c r="I225" s="99">
        <f t="shared" si="13"/>
        <v>610000000</v>
      </c>
      <c r="J225" s="99">
        <f t="shared" si="20"/>
        <v>0</v>
      </c>
      <c r="K225" s="99">
        <f t="shared" si="17"/>
        <v>610000000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122</v>
      </c>
      <c r="H226" s="99">
        <f t="shared" si="15"/>
        <v>0</v>
      </c>
      <c r="I226" s="99">
        <f t="shared" si="13"/>
        <v>-390400000</v>
      </c>
      <c r="J226" s="99">
        <f t="shared" si="20"/>
        <v>0</v>
      </c>
      <c r="K226" s="99">
        <f t="shared" si="17"/>
        <v>-390400000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122</v>
      </c>
      <c r="H227" s="99">
        <f t="shared" si="15"/>
        <v>1</v>
      </c>
      <c r="I227" s="99">
        <f t="shared" si="13"/>
        <v>290400000</v>
      </c>
      <c r="J227" s="99">
        <f t="shared" si="20"/>
        <v>0</v>
      </c>
      <c r="K227" s="99">
        <f t="shared" si="17"/>
        <v>290400000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120</v>
      </c>
      <c r="H228" s="99">
        <f t="shared" si="15"/>
        <v>0</v>
      </c>
      <c r="I228" s="99">
        <f t="shared" si="13"/>
        <v>-6000000</v>
      </c>
      <c r="J228" s="99">
        <f t="shared" si="20"/>
        <v>0</v>
      </c>
      <c r="K228" s="99">
        <f t="shared" si="17"/>
        <v>-6000000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119</v>
      </c>
      <c r="H229" s="99">
        <f t="shared" si="15"/>
        <v>0</v>
      </c>
      <c r="I229" s="99">
        <f t="shared" si="13"/>
        <v>-487983300</v>
      </c>
      <c r="J229" s="99">
        <f t="shared" si="20"/>
        <v>0</v>
      </c>
      <c r="K229" s="99">
        <f t="shared" si="17"/>
        <v>-487983300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115</v>
      </c>
      <c r="H230" s="99">
        <f t="shared" si="15"/>
        <v>1</v>
      </c>
      <c r="I230" s="99">
        <f t="shared" si="13"/>
        <v>1105800000</v>
      </c>
      <c r="J230" s="99">
        <f t="shared" si="20"/>
        <v>0</v>
      </c>
      <c r="K230" s="99">
        <f t="shared" si="17"/>
        <v>1105800000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115</v>
      </c>
      <c r="H231" s="99">
        <f t="shared" si="15"/>
        <v>0</v>
      </c>
      <c r="I231" s="99">
        <f t="shared" si="13"/>
        <v>-345103500</v>
      </c>
      <c r="J231" s="99">
        <f t="shared" si="20"/>
        <v>0</v>
      </c>
      <c r="K231" s="99">
        <f t="shared" si="17"/>
        <v>-345103500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114</v>
      </c>
      <c r="H232" s="99">
        <f t="shared" si="15"/>
        <v>0</v>
      </c>
      <c r="I232" s="99">
        <f t="shared" si="13"/>
        <v>-342102600</v>
      </c>
      <c r="J232" s="99">
        <f t="shared" si="20"/>
        <v>0</v>
      </c>
      <c r="K232" s="99">
        <f t="shared" si="17"/>
        <v>-342102600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114</v>
      </c>
      <c r="H233" s="99">
        <f t="shared" si="15"/>
        <v>0</v>
      </c>
      <c r="I233" s="99">
        <f t="shared" si="13"/>
        <v>-63270000</v>
      </c>
      <c r="J233" s="99">
        <f t="shared" si="20"/>
        <v>0</v>
      </c>
      <c r="K233" s="99">
        <f t="shared" si="17"/>
        <v>-63270000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113</v>
      </c>
      <c r="H234" s="99">
        <f t="shared" si="15"/>
        <v>0</v>
      </c>
      <c r="I234" s="99">
        <f t="shared" si="13"/>
        <v>-15634680</v>
      </c>
      <c r="J234" s="99">
        <f t="shared" si="20"/>
        <v>0</v>
      </c>
      <c r="K234" s="99">
        <f t="shared" si="17"/>
        <v>-15634680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112</v>
      </c>
      <c r="H235" s="99">
        <f t="shared" si="15"/>
        <v>0</v>
      </c>
      <c r="I235" s="99">
        <f t="shared" si="13"/>
        <v>-336100800</v>
      </c>
      <c r="J235" s="99">
        <f t="shared" si="20"/>
        <v>0</v>
      </c>
      <c r="K235" s="99">
        <f t="shared" si="17"/>
        <v>-336100800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110</v>
      </c>
      <c r="H236" s="99">
        <f t="shared" si="15"/>
        <v>0</v>
      </c>
      <c r="I236" s="99">
        <f t="shared" si="13"/>
        <v>-6050000</v>
      </c>
      <c r="J236" s="99">
        <f t="shared" si="20"/>
        <v>0</v>
      </c>
      <c r="K236" s="99">
        <f t="shared" si="17"/>
        <v>-6050000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106</v>
      </c>
      <c r="H237" s="99">
        <f t="shared" si="15"/>
        <v>1</v>
      </c>
      <c r="I237" s="99">
        <f t="shared" si="13"/>
        <v>633675000</v>
      </c>
      <c r="J237" s="99">
        <f t="shared" si="20"/>
        <v>0</v>
      </c>
      <c r="K237" s="99">
        <f t="shared" si="17"/>
        <v>633675000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104</v>
      </c>
      <c r="H238" s="99">
        <f t="shared" si="15"/>
        <v>0</v>
      </c>
      <c r="I238" s="99">
        <f t="shared" si="13"/>
        <v>-780000</v>
      </c>
      <c r="J238" s="99">
        <f t="shared" si="20"/>
        <v>0</v>
      </c>
      <c r="K238" s="99">
        <f t="shared" si="17"/>
        <v>-780000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103</v>
      </c>
      <c r="H239" s="99">
        <f t="shared" si="15"/>
        <v>0</v>
      </c>
      <c r="I239" s="99">
        <f t="shared" si="13"/>
        <v>-422147869</v>
      </c>
      <c r="J239" s="99">
        <f t="shared" si="20"/>
        <v>0</v>
      </c>
      <c r="K239" s="99">
        <f t="shared" si="17"/>
        <v>-422147869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103</v>
      </c>
      <c r="H240" s="99">
        <f t="shared" si="15"/>
        <v>0</v>
      </c>
      <c r="I240" s="99">
        <f t="shared" si="13"/>
        <v>-3422175</v>
      </c>
      <c r="J240" s="99">
        <f t="shared" si="20"/>
        <v>0</v>
      </c>
      <c r="K240" s="99">
        <f t="shared" si="17"/>
        <v>-3422175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103</v>
      </c>
      <c r="H241" s="99">
        <f t="shared" si="15"/>
        <v>0</v>
      </c>
      <c r="I241" s="99">
        <f t="shared" si="13"/>
        <v>-195185000</v>
      </c>
      <c r="J241" s="99">
        <f t="shared" si="20"/>
        <v>0</v>
      </c>
      <c r="K241" s="99">
        <f t="shared" si="17"/>
        <v>-195185000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96</v>
      </c>
      <c r="H242" s="99">
        <f t="shared" si="15"/>
        <v>1</v>
      </c>
      <c r="I242" s="99">
        <f t="shared" si="13"/>
        <v>237500000</v>
      </c>
      <c r="J242" s="99">
        <f t="shared" si="20"/>
        <v>0</v>
      </c>
      <c r="K242" s="99">
        <f t="shared" si="17"/>
        <v>237500000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94</v>
      </c>
      <c r="H243" s="99">
        <f t="shared" si="15"/>
        <v>0</v>
      </c>
      <c r="I243" s="99">
        <f t="shared" si="13"/>
        <v>-235000000</v>
      </c>
      <c r="J243" s="99">
        <f t="shared" si="20"/>
        <v>0</v>
      </c>
      <c r="K243" s="99">
        <f t="shared" si="17"/>
        <v>-235000000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92</v>
      </c>
      <c r="H244" s="99">
        <f t="shared" si="15"/>
        <v>1</v>
      </c>
      <c r="I244" s="99">
        <f t="shared" si="13"/>
        <v>100100000</v>
      </c>
      <c r="J244" s="99">
        <f t="shared" si="20"/>
        <v>0</v>
      </c>
      <c r="K244" s="99">
        <f t="shared" si="17"/>
        <v>100100000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90</v>
      </c>
      <c r="H245" s="99">
        <f t="shared" si="15"/>
        <v>1</v>
      </c>
      <c r="I245" s="99">
        <f t="shared" si="13"/>
        <v>267000000</v>
      </c>
      <c r="J245" s="99">
        <f t="shared" si="20"/>
        <v>0</v>
      </c>
      <c r="K245" s="99">
        <f t="shared" si="17"/>
        <v>267000000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88</v>
      </c>
      <c r="H246" s="99">
        <f t="shared" si="15"/>
        <v>0</v>
      </c>
      <c r="I246" s="99">
        <f t="shared" si="13"/>
        <v>-355581600</v>
      </c>
      <c r="J246" s="99">
        <f t="shared" si="20"/>
        <v>0</v>
      </c>
      <c r="K246" s="99">
        <f t="shared" si="17"/>
        <v>-355581600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88</v>
      </c>
      <c r="H247" s="99">
        <f t="shared" si="15"/>
        <v>1</v>
      </c>
      <c r="I247" s="99">
        <f t="shared" si="13"/>
        <v>42630000</v>
      </c>
      <c r="J247" s="99">
        <f t="shared" si="20"/>
        <v>0</v>
      </c>
      <c r="K247" s="99">
        <f t="shared" si="17"/>
        <v>42630000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87</v>
      </c>
      <c r="H248" s="99">
        <f t="shared" si="15"/>
        <v>1</v>
      </c>
      <c r="I248" s="99">
        <f t="shared" si="13"/>
        <v>120400000</v>
      </c>
      <c r="J248" s="99">
        <f t="shared" si="20"/>
        <v>0</v>
      </c>
      <c r="K248" s="99">
        <f t="shared" si="17"/>
        <v>120400000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87</v>
      </c>
      <c r="H249" s="99">
        <f t="shared" si="15"/>
        <v>0</v>
      </c>
      <c r="I249" s="99">
        <f t="shared" si="13"/>
        <v>-130500000</v>
      </c>
      <c r="J249" s="99">
        <f t="shared" si="20"/>
        <v>0</v>
      </c>
      <c r="K249" s="99">
        <f t="shared" si="17"/>
        <v>-130500000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86</v>
      </c>
      <c r="H250" s="99">
        <f t="shared" si="15"/>
        <v>0</v>
      </c>
      <c r="I250" s="99">
        <f t="shared" si="13"/>
        <v>-8600000</v>
      </c>
      <c r="J250" s="99">
        <f t="shared" si="20"/>
        <v>0</v>
      </c>
      <c r="K250" s="99">
        <f t="shared" si="17"/>
        <v>-8600000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85</v>
      </c>
      <c r="H251" s="99">
        <f t="shared" si="15"/>
        <v>0</v>
      </c>
      <c r="I251" s="99">
        <f t="shared" si="13"/>
        <v>-1181500</v>
      </c>
      <c r="J251" s="99">
        <f t="shared" si="20"/>
        <v>0</v>
      </c>
      <c r="K251" s="99">
        <f t="shared" si="17"/>
        <v>-1181500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85</v>
      </c>
      <c r="H252" s="99">
        <f t="shared" si="15"/>
        <v>1</v>
      </c>
      <c r="I252" s="99">
        <f t="shared" si="13"/>
        <v>25200000</v>
      </c>
      <c r="J252" s="99">
        <f t="shared" si="20"/>
        <v>0</v>
      </c>
      <c r="K252" s="99">
        <f t="shared" si="17"/>
        <v>25200000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83</v>
      </c>
      <c r="H253" s="99">
        <f t="shared" si="15"/>
        <v>1</v>
      </c>
      <c r="I253" s="99">
        <f t="shared" si="13"/>
        <v>984000000</v>
      </c>
      <c r="J253" s="99">
        <f t="shared" si="20"/>
        <v>0</v>
      </c>
      <c r="K253" s="99">
        <f t="shared" si="17"/>
        <v>984000000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82</v>
      </c>
      <c r="H254" s="99">
        <f t="shared" si="15"/>
        <v>1</v>
      </c>
      <c r="I254" s="99">
        <f t="shared" si="13"/>
        <v>243000000</v>
      </c>
      <c r="J254" s="99">
        <f t="shared" si="20"/>
        <v>0</v>
      </c>
      <c r="K254" s="99">
        <f t="shared" si="17"/>
        <v>243000000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81</v>
      </c>
      <c r="H255" s="99">
        <f t="shared" si="15"/>
        <v>0</v>
      </c>
      <c r="I255" s="99">
        <f t="shared" si="13"/>
        <v>-1134000000</v>
      </c>
      <c r="J255" s="99">
        <f t="shared" si="20"/>
        <v>0</v>
      </c>
      <c r="K255" s="99">
        <f t="shared" si="17"/>
        <v>-1134000000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80</v>
      </c>
      <c r="H256" s="99">
        <f t="shared" si="15"/>
        <v>0</v>
      </c>
      <c r="I256" s="99">
        <f t="shared" si="13"/>
        <v>-9997520</v>
      </c>
      <c r="J256" s="99">
        <f t="shared" si="20"/>
        <v>0</v>
      </c>
      <c r="K256" s="99">
        <f t="shared" si="17"/>
        <v>-9997520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80</v>
      </c>
      <c r="H257" s="99">
        <f t="shared" si="15"/>
        <v>0</v>
      </c>
      <c r="I257" s="99">
        <f t="shared" si="13"/>
        <v>0</v>
      </c>
      <c r="J257" s="99">
        <f t="shared" si="20"/>
        <v>-637503120</v>
      </c>
      <c r="K257" s="99">
        <f t="shared" si="17"/>
        <v>637503120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79</v>
      </c>
      <c r="H258" s="99">
        <f t="shared" si="15"/>
        <v>0</v>
      </c>
      <c r="I258" s="99">
        <f t="shared" si="13"/>
        <v>-103727000</v>
      </c>
      <c r="J258" s="99">
        <f t="shared" si="20"/>
        <v>0</v>
      </c>
      <c r="K258" s="99">
        <f t="shared" si="17"/>
        <v>-103727000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76</v>
      </c>
      <c r="H259" s="99">
        <f t="shared" si="15"/>
        <v>1</v>
      </c>
      <c r="I259" s="99">
        <f t="shared" si="13"/>
        <v>150000000</v>
      </c>
      <c r="J259" s="99">
        <f t="shared" si="20"/>
        <v>0</v>
      </c>
      <c r="K259" s="99">
        <f t="shared" si="17"/>
        <v>150000000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75</v>
      </c>
      <c r="H260" s="99">
        <f t="shared" si="15"/>
        <v>0</v>
      </c>
      <c r="I260" s="99">
        <f t="shared" si="13"/>
        <v>-142500000</v>
      </c>
      <c r="J260" s="99">
        <f t="shared" si="20"/>
        <v>0</v>
      </c>
      <c r="K260" s="99">
        <f t="shared" si="17"/>
        <v>-142500000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75</v>
      </c>
      <c r="H261" s="99">
        <f t="shared" si="15"/>
        <v>0</v>
      </c>
      <c r="I261" s="99">
        <f t="shared" si="13"/>
        <v>-7537500</v>
      </c>
      <c r="J261" s="99">
        <f t="shared" si="20"/>
        <v>0</v>
      </c>
      <c r="K261" s="99">
        <f t="shared" si="17"/>
        <v>-7537500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75</v>
      </c>
      <c r="H262" s="99">
        <f t="shared" si="15"/>
        <v>0</v>
      </c>
      <c r="I262" s="99">
        <f t="shared" si="13"/>
        <v>-5150250</v>
      </c>
      <c r="J262" s="99">
        <f t="shared" si="20"/>
        <v>0</v>
      </c>
      <c r="K262" s="99">
        <f t="shared" si="17"/>
        <v>-5150250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74</v>
      </c>
      <c r="H263" s="99">
        <f t="shared" si="15"/>
        <v>0</v>
      </c>
      <c r="I263" s="99">
        <f t="shared" si="13"/>
        <v>-8776400</v>
      </c>
      <c r="J263" s="99">
        <f t="shared" si="20"/>
        <v>0</v>
      </c>
      <c r="K263" s="99">
        <f t="shared" si="17"/>
        <v>-8776400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72</v>
      </c>
      <c r="H264" s="99">
        <f t="shared" si="15"/>
        <v>1</v>
      </c>
      <c r="I264" s="99">
        <f t="shared" si="13"/>
        <v>481309000</v>
      </c>
      <c r="J264" s="99">
        <f t="shared" si="20"/>
        <v>0</v>
      </c>
      <c r="K264" s="99">
        <f t="shared" si="17"/>
        <v>481309000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72</v>
      </c>
      <c r="H265" s="99">
        <f t="shared" si="15"/>
        <v>0</v>
      </c>
      <c r="I265" s="99">
        <f t="shared" si="13"/>
        <v>-460800000</v>
      </c>
      <c r="J265" s="99">
        <f t="shared" si="20"/>
        <v>0</v>
      </c>
      <c r="K265" s="99">
        <f t="shared" si="17"/>
        <v>-460800000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72</v>
      </c>
      <c r="H266" s="99">
        <f t="shared" si="15"/>
        <v>0</v>
      </c>
      <c r="I266" s="99">
        <f t="shared" si="13"/>
        <v>-28008000</v>
      </c>
      <c r="J266" s="99">
        <f t="shared" si="20"/>
        <v>0</v>
      </c>
      <c r="K266" s="99">
        <f t="shared" si="17"/>
        <v>-28008000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68</v>
      </c>
      <c r="H267" s="99">
        <f t="shared" si="15"/>
        <v>1</v>
      </c>
      <c r="I267" s="99">
        <f t="shared" si="13"/>
        <v>14740000</v>
      </c>
      <c r="J267" s="99">
        <f t="shared" si="20"/>
        <v>0</v>
      </c>
      <c r="K267" s="99">
        <f t="shared" si="17"/>
        <v>14740000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68</v>
      </c>
      <c r="H268" s="99">
        <f t="shared" si="15"/>
        <v>0</v>
      </c>
      <c r="I268" s="99">
        <f t="shared" si="13"/>
        <v>-7438520</v>
      </c>
      <c r="J268" s="99">
        <f t="shared" si="20"/>
        <v>0</v>
      </c>
      <c r="K268" s="99">
        <f t="shared" si="17"/>
        <v>-7438520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66</v>
      </c>
      <c r="H269" s="99">
        <f t="shared" si="15"/>
        <v>1</v>
      </c>
      <c r="I269" s="99">
        <f t="shared" si="13"/>
        <v>6500000</v>
      </c>
      <c r="J269" s="99">
        <f t="shared" si="20"/>
        <v>0</v>
      </c>
      <c r="K269" s="99">
        <f t="shared" si="17"/>
        <v>6500000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66</v>
      </c>
      <c r="H270" s="99">
        <f t="shared" si="15"/>
        <v>1</v>
      </c>
      <c r="I270" s="99">
        <f t="shared" si="13"/>
        <v>169000000</v>
      </c>
      <c r="J270" s="99">
        <f t="shared" si="20"/>
        <v>0</v>
      </c>
      <c r="K270" s="99">
        <f t="shared" si="17"/>
        <v>169000000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65</v>
      </c>
      <c r="H271" s="99">
        <f t="shared" si="15"/>
        <v>1</v>
      </c>
      <c r="I271" s="99">
        <f t="shared" si="13"/>
        <v>281600000</v>
      </c>
      <c r="J271" s="99">
        <f t="shared" si="20"/>
        <v>0</v>
      </c>
      <c r="K271" s="99">
        <f t="shared" si="17"/>
        <v>281600000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65</v>
      </c>
      <c r="H272" s="99">
        <f t="shared" si="15"/>
        <v>0</v>
      </c>
      <c r="I272" s="99">
        <f t="shared" si="13"/>
        <v>-6175000</v>
      </c>
      <c r="J272" s="99">
        <f t="shared" si="20"/>
        <v>0</v>
      </c>
      <c r="K272" s="99">
        <f t="shared" si="17"/>
        <v>-6175000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64</v>
      </c>
      <c r="H273" s="99">
        <f t="shared" si="15"/>
        <v>0</v>
      </c>
      <c r="I273" s="99">
        <f t="shared" si="13"/>
        <v>-57600000</v>
      </c>
      <c r="J273" s="99">
        <f t="shared" si="20"/>
        <v>0</v>
      </c>
      <c r="K273" s="99">
        <f t="shared" si="17"/>
        <v>-57600000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63</v>
      </c>
      <c r="H274" s="99">
        <f t="shared" si="15"/>
        <v>1</v>
      </c>
      <c r="I274" s="99">
        <f t="shared" si="13"/>
        <v>155000000</v>
      </c>
      <c r="J274" s="99">
        <f t="shared" si="20"/>
        <v>0</v>
      </c>
      <c r="K274" s="99">
        <f t="shared" si="17"/>
        <v>155000000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63</v>
      </c>
      <c r="H275" s="99">
        <f t="shared" si="15"/>
        <v>0</v>
      </c>
      <c r="I275" s="99">
        <f t="shared" si="13"/>
        <v>-81081000</v>
      </c>
      <c r="J275" s="99">
        <f t="shared" si="20"/>
        <v>0</v>
      </c>
      <c r="K275" s="99">
        <f t="shared" si="17"/>
        <v>-81081000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61</v>
      </c>
      <c r="H276" s="99">
        <f t="shared" si="15"/>
        <v>1</v>
      </c>
      <c r="I276" s="99">
        <f t="shared" si="13"/>
        <v>228000000</v>
      </c>
      <c r="J276" s="99">
        <f t="shared" si="20"/>
        <v>0</v>
      </c>
      <c r="K276" s="99">
        <f t="shared" si="17"/>
        <v>228000000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60</v>
      </c>
      <c r="H277" s="99">
        <f t="shared" si="15"/>
        <v>1</v>
      </c>
      <c r="I277" s="99">
        <f t="shared" si="13"/>
        <v>1239000000</v>
      </c>
      <c r="J277" s="99">
        <f t="shared" si="20"/>
        <v>0</v>
      </c>
      <c r="K277" s="99">
        <f t="shared" si="17"/>
        <v>1239000000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59</v>
      </c>
      <c r="H278" s="99">
        <f t="shared" si="15"/>
        <v>1</v>
      </c>
      <c r="I278" s="99">
        <f t="shared" si="13"/>
        <v>174000000</v>
      </c>
      <c r="J278" s="99">
        <f t="shared" si="20"/>
        <v>0</v>
      </c>
      <c r="K278" s="99">
        <f t="shared" si="17"/>
        <v>174000000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59</v>
      </c>
      <c r="H279" s="99">
        <f t="shared" si="15"/>
        <v>1</v>
      </c>
      <c r="I279" s="99">
        <f t="shared" si="13"/>
        <v>116000000</v>
      </c>
      <c r="J279" s="99">
        <f t="shared" si="20"/>
        <v>0</v>
      </c>
      <c r="K279" s="99">
        <f t="shared" si="17"/>
        <v>116000000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58</v>
      </c>
      <c r="H280" s="99">
        <f t="shared" si="15"/>
        <v>0</v>
      </c>
      <c r="I280" s="99">
        <f t="shared" si="13"/>
        <v>-116000000</v>
      </c>
      <c r="J280" s="99">
        <f t="shared" si="20"/>
        <v>0</v>
      </c>
      <c r="K280" s="99">
        <f t="shared" si="17"/>
        <v>-116000000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57</v>
      </c>
      <c r="H281" s="99">
        <f t="shared" si="15"/>
        <v>0</v>
      </c>
      <c r="I281" s="99">
        <f t="shared" si="13"/>
        <v>-570000000</v>
      </c>
      <c r="J281" s="99">
        <f t="shared" si="20"/>
        <v>0</v>
      </c>
      <c r="K281" s="99">
        <f t="shared" si="17"/>
        <v>-570000000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53</v>
      </c>
      <c r="H282" s="99">
        <f t="shared" si="15"/>
        <v>0</v>
      </c>
      <c r="I282" s="99">
        <f t="shared" si="13"/>
        <v>-885100000</v>
      </c>
      <c r="J282" s="99">
        <f t="shared" ref="J282:J296" si="22">C282*(G282-H282)</f>
        <v>0</v>
      </c>
      <c r="K282" s="99">
        <f t="shared" ref="K282:K296" si="23">D282*(G282-H282)</f>
        <v>-885100000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51</v>
      </c>
      <c r="H283" s="99">
        <f t="shared" si="15"/>
        <v>1</v>
      </c>
      <c r="I283" s="99">
        <f t="shared" si="13"/>
        <v>600000000</v>
      </c>
      <c r="J283" s="99">
        <f t="shared" si="22"/>
        <v>0</v>
      </c>
      <c r="K283" s="99">
        <f t="shared" si="23"/>
        <v>600000000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50</v>
      </c>
      <c r="H284" s="99">
        <f t="shared" si="15"/>
        <v>1</v>
      </c>
      <c r="I284" s="99">
        <f t="shared" si="13"/>
        <v>93100000</v>
      </c>
      <c r="J284" s="99">
        <f t="shared" si="22"/>
        <v>0</v>
      </c>
      <c r="K284" s="99">
        <f t="shared" si="23"/>
        <v>93100000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50</v>
      </c>
      <c r="H285" s="99">
        <f t="shared" si="15"/>
        <v>0</v>
      </c>
      <c r="I285" s="99">
        <f t="shared" si="13"/>
        <v>-199750000</v>
      </c>
      <c r="J285" s="99">
        <f t="shared" si="22"/>
        <v>0</v>
      </c>
      <c r="K285" s="99">
        <f t="shared" si="23"/>
        <v>-199750000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47</v>
      </c>
      <c r="H286" s="99">
        <f t="shared" si="15"/>
        <v>0</v>
      </c>
      <c r="I286" s="99">
        <f t="shared" si="13"/>
        <v>-94502900</v>
      </c>
      <c r="J286" s="99">
        <f t="shared" si="22"/>
        <v>0</v>
      </c>
      <c r="K286" s="99">
        <f t="shared" si="23"/>
        <v>-94502900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47</v>
      </c>
      <c r="H287" s="99">
        <f t="shared" si="15"/>
        <v>0</v>
      </c>
      <c r="I287" s="99">
        <f t="shared" si="13"/>
        <v>-188000000</v>
      </c>
      <c r="J287" s="99">
        <f t="shared" si="22"/>
        <v>0</v>
      </c>
      <c r="K287" s="99">
        <f t="shared" si="23"/>
        <v>-188000000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46</v>
      </c>
      <c r="H288" s="99">
        <f t="shared" si="15"/>
        <v>0</v>
      </c>
      <c r="I288" s="99">
        <f t="shared" si="13"/>
        <v>-262200000</v>
      </c>
      <c r="J288" s="99">
        <f t="shared" si="22"/>
        <v>0</v>
      </c>
      <c r="K288" s="99">
        <f t="shared" si="23"/>
        <v>-262200000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44</v>
      </c>
      <c r="H289" s="99">
        <f t="shared" si="15"/>
        <v>1</v>
      </c>
      <c r="I289" s="99">
        <f t="shared" si="13"/>
        <v>344000000</v>
      </c>
      <c r="J289" s="99">
        <f t="shared" si="22"/>
        <v>0</v>
      </c>
      <c r="K289" s="99">
        <f t="shared" si="23"/>
        <v>344000000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43</v>
      </c>
      <c r="H290" s="99">
        <f t="shared" si="15"/>
        <v>0</v>
      </c>
      <c r="I290" s="99">
        <f t="shared" si="13"/>
        <v>-344000000</v>
      </c>
      <c r="J290" s="99">
        <f t="shared" si="22"/>
        <v>0</v>
      </c>
      <c r="K290" s="99">
        <f t="shared" si="23"/>
        <v>-344000000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40</v>
      </c>
      <c r="H291" s="99">
        <f t="shared" si="15"/>
        <v>0</v>
      </c>
      <c r="I291" s="99">
        <f t="shared" si="13"/>
        <v>-240000000</v>
      </c>
      <c r="J291" s="99">
        <f t="shared" si="22"/>
        <v>0</v>
      </c>
      <c r="K291" s="99">
        <f t="shared" si="23"/>
        <v>-240000000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40</v>
      </c>
      <c r="H292" s="99">
        <f t="shared" si="15"/>
        <v>0</v>
      </c>
      <c r="I292" s="99">
        <f t="shared" si="13"/>
        <v>-3092600</v>
      </c>
      <c r="J292" s="99">
        <f t="shared" si="22"/>
        <v>0</v>
      </c>
      <c r="K292" s="99">
        <f t="shared" si="23"/>
        <v>-3092600</v>
      </c>
    </row>
    <row r="293" spans="1:13">
      <c r="A293" s="99" t="s">
        <v>4643</v>
      </c>
      <c r="B293" s="18">
        <v>-96850</v>
      </c>
      <c r="C293" s="18">
        <v>0</v>
      </c>
      <c r="D293" s="18">
        <f t="shared" si="18"/>
        <v>-96850</v>
      </c>
      <c r="E293" s="99" t="s">
        <v>4649</v>
      </c>
      <c r="F293" s="99">
        <v>2</v>
      </c>
      <c r="G293" s="36">
        <f t="shared" si="21"/>
        <v>39</v>
      </c>
      <c r="H293" s="99">
        <f t="shared" si="15"/>
        <v>0</v>
      </c>
      <c r="I293" s="99">
        <f t="shared" si="13"/>
        <v>-3777150</v>
      </c>
      <c r="J293" s="99">
        <f t="shared" si="22"/>
        <v>0</v>
      </c>
      <c r="K293" s="99">
        <f t="shared" si="23"/>
        <v>-3777150</v>
      </c>
    </row>
    <row r="294" spans="1:13">
      <c r="A294" s="99" t="s">
        <v>4653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37</v>
      </c>
      <c r="H294" s="99">
        <f t="shared" si="15"/>
        <v>0</v>
      </c>
      <c r="I294" s="99">
        <f t="shared" si="13"/>
        <v>-1665000</v>
      </c>
      <c r="J294" s="99">
        <f t="shared" si="22"/>
        <v>0</v>
      </c>
      <c r="K294" s="99">
        <f t="shared" si="23"/>
        <v>-1665000</v>
      </c>
    </row>
    <row r="295" spans="1:13">
      <c r="A295" s="99" t="s">
        <v>4653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37</v>
      </c>
      <c r="H295" s="99">
        <f t="shared" si="15"/>
        <v>0</v>
      </c>
      <c r="I295" s="99">
        <f t="shared" si="13"/>
        <v>-1770376</v>
      </c>
      <c r="J295" s="99">
        <f t="shared" si="22"/>
        <v>0</v>
      </c>
      <c r="K295" s="99">
        <f t="shared" si="23"/>
        <v>-1770376</v>
      </c>
      <c r="M295" t="s">
        <v>25</v>
      </c>
    </row>
    <row r="296" spans="1:13">
      <c r="A296" s="99" t="s">
        <v>4669</v>
      </c>
      <c r="B296" s="18">
        <v>-200000</v>
      </c>
      <c r="C296" s="18">
        <v>0</v>
      </c>
      <c r="D296" s="18">
        <f t="shared" si="18"/>
        <v>-200000</v>
      </c>
      <c r="E296" s="99" t="s">
        <v>4670</v>
      </c>
      <c r="F296" s="99">
        <v>3</v>
      </c>
      <c r="G296" s="36">
        <f t="shared" si="21"/>
        <v>36</v>
      </c>
      <c r="H296" s="99">
        <f t="shared" si="15"/>
        <v>0</v>
      </c>
      <c r="I296" s="99">
        <f t="shared" si="13"/>
        <v>-7200000</v>
      </c>
      <c r="J296" s="99">
        <f t="shared" si="22"/>
        <v>0</v>
      </c>
      <c r="K296" s="99">
        <f t="shared" si="23"/>
        <v>-7200000</v>
      </c>
    </row>
    <row r="297" spans="1:13">
      <c r="A297" s="99" t="s">
        <v>4680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33</v>
      </c>
      <c r="H297" s="99">
        <f t="shared" si="15"/>
        <v>0</v>
      </c>
      <c r="I297" s="99">
        <f t="shared" ref="I297:I308" si="24">B297*(G297-H297)</f>
        <v>-1995180</v>
      </c>
      <c r="J297" s="99">
        <f t="shared" ref="J297:J308" si="25">C297*(G297-H297)</f>
        <v>0</v>
      </c>
      <c r="K297" s="99">
        <f t="shared" ref="K297:K308" si="26">D297*(G297-H297)</f>
        <v>-1995180</v>
      </c>
    </row>
    <row r="298" spans="1:13">
      <c r="A298" s="99" t="s">
        <v>4686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32</v>
      </c>
      <c r="H298" s="99">
        <f t="shared" si="15"/>
        <v>0</v>
      </c>
      <c r="I298" s="99">
        <f t="shared" si="24"/>
        <v>-1920000</v>
      </c>
      <c r="J298" s="99">
        <f t="shared" si="25"/>
        <v>0</v>
      </c>
      <c r="K298" s="99">
        <f t="shared" si="26"/>
        <v>-1920000</v>
      </c>
    </row>
    <row r="299" spans="1:13">
      <c r="A299" s="99" t="s">
        <v>4686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32</v>
      </c>
      <c r="H299" s="99">
        <f t="shared" si="15"/>
        <v>1</v>
      </c>
      <c r="I299" s="99">
        <f t="shared" si="24"/>
        <v>74400000</v>
      </c>
      <c r="J299" s="99">
        <f t="shared" si="25"/>
        <v>0</v>
      </c>
      <c r="K299" s="99">
        <f t="shared" si="26"/>
        <v>74400000</v>
      </c>
    </row>
    <row r="300" spans="1:13">
      <c r="A300" s="99" t="s">
        <v>4686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32</v>
      </c>
      <c r="H300" s="99">
        <f t="shared" si="15"/>
        <v>0</v>
      </c>
      <c r="I300" s="99">
        <f t="shared" si="24"/>
        <v>-4389216</v>
      </c>
      <c r="J300" s="99">
        <f t="shared" si="25"/>
        <v>0</v>
      </c>
      <c r="K300" s="99">
        <f t="shared" si="26"/>
        <v>-4389216</v>
      </c>
      <c r="L300" t="s">
        <v>25</v>
      </c>
      <c r="M300" t="s">
        <v>25</v>
      </c>
    </row>
    <row r="301" spans="1:13">
      <c r="A301" s="99" t="s">
        <v>4686</v>
      </c>
      <c r="B301" s="18">
        <v>-51400</v>
      </c>
      <c r="C301" s="18">
        <v>0</v>
      </c>
      <c r="D301" s="18">
        <f t="shared" si="18"/>
        <v>-51400</v>
      </c>
      <c r="E301" s="99" t="s">
        <v>4693</v>
      </c>
      <c r="F301" s="99">
        <v>1</v>
      </c>
      <c r="G301" s="36">
        <f t="shared" si="27"/>
        <v>32</v>
      </c>
      <c r="H301" s="99">
        <f t="shared" si="15"/>
        <v>0</v>
      </c>
      <c r="I301" s="99">
        <f t="shared" si="24"/>
        <v>-1644800</v>
      </c>
      <c r="J301" s="99">
        <f t="shared" si="25"/>
        <v>0</v>
      </c>
      <c r="K301" s="99">
        <f t="shared" si="26"/>
        <v>-1644800</v>
      </c>
    </row>
    <row r="302" spans="1:13">
      <c r="A302" s="99" t="s">
        <v>4696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31</v>
      </c>
      <c r="H302" s="99">
        <f t="shared" si="15"/>
        <v>0</v>
      </c>
      <c r="I302" s="99">
        <f t="shared" si="24"/>
        <v>-69750000</v>
      </c>
      <c r="J302" s="99">
        <f t="shared" si="25"/>
        <v>0</v>
      </c>
      <c r="K302" s="99">
        <f t="shared" si="26"/>
        <v>-69750000</v>
      </c>
      <c r="M302" t="s">
        <v>25</v>
      </c>
    </row>
    <row r="303" spans="1:13">
      <c r="A303" s="99" t="s">
        <v>4696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31</v>
      </c>
      <c r="H303" s="99">
        <f t="shared" si="15"/>
        <v>1</v>
      </c>
      <c r="I303" s="99">
        <f t="shared" si="24"/>
        <v>21000000</v>
      </c>
      <c r="J303" s="99">
        <f t="shared" si="25"/>
        <v>0</v>
      </c>
      <c r="K303" s="99">
        <f t="shared" si="26"/>
        <v>21000000</v>
      </c>
    </row>
    <row r="304" spans="1:13">
      <c r="A304" s="99" t="s">
        <v>4728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29</v>
      </c>
      <c r="H304" s="99">
        <f t="shared" si="15"/>
        <v>1</v>
      </c>
      <c r="I304" s="99">
        <f t="shared" si="24"/>
        <v>15960000</v>
      </c>
      <c r="J304" s="99">
        <f t="shared" si="25"/>
        <v>0</v>
      </c>
      <c r="K304" s="99">
        <f t="shared" si="26"/>
        <v>15960000</v>
      </c>
    </row>
    <row r="305" spans="1:13">
      <c r="A305" s="99" t="s">
        <v>4728</v>
      </c>
      <c r="B305" s="18">
        <v>-276773</v>
      </c>
      <c r="C305" s="18">
        <v>0</v>
      </c>
      <c r="D305" s="18">
        <f t="shared" si="18"/>
        <v>-276773</v>
      </c>
      <c r="E305" s="99" t="s">
        <v>4732</v>
      </c>
      <c r="F305" s="99">
        <v>2</v>
      </c>
      <c r="G305" s="36">
        <f t="shared" si="27"/>
        <v>29</v>
      </c>
      <c r="H305" s="99">
        <f t="shared" si="15"/>
        <v>0</v>
      </c>
      <c r="I305" s="99">
        <f t="shared" si="24"/>
        <v>-8026417</v>
      </c>
      <c r="J305" s="99">
        <f t="shared" si="25"/>
        <v>0</v>
      </c>
      <c r="K305" s="99">
        <f t="shared" si="26"/>
        <v>-8026417</v>
      </c>
    </row>
    <row r="306" spans="1:13">
      <c r="A306" s="99" t="s">
        <v>4733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27</v>
      </c>
      <c r="H306" s="99">
        <f t="shared" si="15"/>
        <v>0</v>
      </c>
      <c r="I306" s="99">
        <f t="shared" si="24"/>
        <v>-3097170</v>
      </c>
      <c r="J306" s="99">
        <f t="shared" si="25"/>
        <v>0</v>
      </c>
      <c r="K306" s="99">
        <f t="shared" si="26"/>
        <v>-3097170</v>
      </c>
      <c r="M306" t="s">
        <v>25</v>
      </c>
    </row>
    <row r="307" spans="1:13">
      <c r="A307" s="99" t="s">
        <v>4749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23</v>
      </c>
      <c r="H307" s="99">
        <f t="shared" si="15"/>
        <v>0</v>
      </c>
      <c r="I307" s="99">
        <f t="shared" si="24"/>
        <v>-23000</v>
      </c>
      <c r="J307" s="99">
        <f t="shared" si="25"/>
        <v>0</v>
      </c>
      <c r="K307" s="99">
        <f t="shared" si="26"/>
        <v>-23000</v>
      </c>
    </row>
    <row r="308" spans="1:13">
      <c r="A308" s="99" t="s">
        <v>4756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22</v>
      </c>
      <c r="H308" s="99">
        <f t="shared" si="15"/>
        <v>1</v>
      </c>
      <c r="I308" s="99">
        <f t="shared" si="24"/>
        <v>5250000</v>
      </c>
      <c r="J308" s="99">
        <f t="shared" si="25"/>
        <v>0</v>
      </c>
      <c r="K308" s="99">
        <f t="shared" si="26"/>
        <v>5250000</v>
      </c>
    </row>
    <row r="309" spans="1:13">
      <c r="A309" s="99" t="s">
        <v>4756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22</v>
      </c>
      <c r="H309" s="99">
        <f t="shared" ref="H309:H325" si="29">IF(B309&gt;0,1,0)</f>
        <v>0</v>
      </c>
      <c r="I309" s="99">
        <f t="shared" ref="I309:I325" si="30">B309*(G309-H309)</f>
        <v>-1212640</v>
      </c>
      <c r="J309" s="99">
        <f t="shared" ref="J309:J325" si="31">C309*(G309-H309)</f>
        <v>0</v>
      </c>
      <c r="K309" s="99">
        <f t="shared" ref="K309:K325" si="32">D309*(G309-H309)</f>
        <v>-1212640</v>
      </c>
    </row>
    <row r="310" spans="1:13">
      <c r="A310" s="99" t="s">
        <v>4768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19</v>
      </c>
      <c r="H310" s="99">
        <f t="shared" si="29"/>
        <v>0</v>
      </c>
      <c r="I310" s="99">
        <f t="shared" si="30"/>
        <v>-2185000</v>
      </c>
      <c r="J310" s="99">
        <f t="shared" si="31"/>
        <v>0</v>
      </c>
      <c r="K310" s="99">
        <f t="shared" si="32"/>
        <v>-2185000</v>
      </c>
    </row>
    <row r="311" spans="1:13">
      <c r="A311" s="99" t="s">
        <v>4758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18</v>
      </c>
      <c r="H311" s="99">
        <f t="shared" si="29"/>
        <v>0</v>
      </c>
      <c r="I311" s="99">
        <f t="shared" si="30"/>
        <v>-3861882</v>
      </c>
      <c r="J311" s="99">
        <f t="shared" si="31"/>
        <v>0</v>
      </c>
      <c r="K311" s="99">
        <f t="shared" si="32"/>
        <v>-3861882</v>
      </c>
      <c r="L311" t="s">
        <v>25</v>
      </c>
    </row>
    <row r="312" spans="1:13">
      <c r="A312" s="99" t="s">
        <v>4760</v>
      </c>
      <c r="B312" s="18">
        <v>-324747</v>
      </c>
      <c r="C312" s="18">
        <v>0</v>
      </c>
      <c r="D312" s="18">
        <f t="shared" si="18"/>
        <v>-324747</v>
      </c>
      <c r="E312" s="99" t="s">
        <v>4769</v>
      </c>
      <c r="F312" s="99">
        <v>3</v>
      </c>
      <c r="G312" s="36">
        <f t="shared" si="28"/>
        <v>16</v>
      </c>
      <c r="H312" s="99">
        <f t="shared" si="29"/>
        <v>0</v>
      </c>
      <c r="I312" s="99">
        <f t="shared" si="30"/>
        <v>-5195952</v>
      </c>
      <c r="J312" s="99">
        <f t="shared" si="31"/>
        <v>0</v>
      </c>
      <c r="K312" s="99">
        <f t="shared" si="32"/>
        <v>-5195952</v>
      </c>
      <c r="M312" t="s">
        <v>25</v>
      </c>
    </row>
    <row r="313" spans="1:13">
      <c r="A313" s="99" t="s">
        <v>4778</v>
      </c>
      <c r="B313" s="18">
        <v>-297992</v>
      </c>
      <c r="C313" s="18">
        <v>0</v>
      </c>
      <c r="D313" s="18">
        <f t="shared" si="18"/>
        <v>-297992</v>
      </c>
      <c r="E313" s="99" t="s">
        <v>4779</v>
      </c>
      <c r="F313" s="99">
        <v>2</v>
      </c>
      <c r="G313" s="36">
        <f t="shared" si="28"/>
        <v>13</v>
      </c>
      <c r="H313" s="99">
        <f t="shared" si="29"/>
        <v>0</v>
      </c>
      <c r="I313" s="99">
        <f t="shared" si="30"/>
        <v>-3873896</v>
      </c>
      <c r="J313" s="99">
        <f t="shared" si="31"/>
        <v>0</v>
      </c>
      <c r="K313" s="99">
        <f t="shared" si="32"/>
        <v>-3873896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11</v>
      </c>
      <c r="H314" s="99">
        <f t="shared" si="29"/>
        <v>0</v>
      </c>
      <c r="I314" s="99">
        <f t="shared" si="30"/>
        <v>-1430000</v>
      </c>
      <c r="J314" s="99">
        <f t="shared" si="31"/>
        <v>0</v>
      </c>
      <c r="K314" s="99">
        <f t="shared" si="32"/>
        <v>-1430000</v>
      </c>
    </row>
    <row r="315" spans="1:13">
      <c r="A315" s="99" t="s">
        <v>4788</v>
      </c>
      <c r="B315" s="18">
        <v>-40000</v>
      </c>
      <c r="C315" s="18">
        <v>0</v>
      </c>
      <c r="D315" s="18">
        <f t="shared" si="18"/>
        <v>-40000</v>
      </c>
      <c r="E315" s="99" t="s">
        <v>4807</v>
      </c>
      <c r="F315" s="99">
        <v>4</v>
      </c>
      <c r="G315" s="36">
        <f t="shared" si="28"/>
        <v>10</v>
      </c>
      <c r="H315" s="99">
        <f t="shared" si="29"/>
        <v>0</v>
      </c>
      <c r="I315" s="99">
        <f t="shared" si="30"/>
        <v>-400000</v>
      </c>
      <c r="J315" s="99">
        <f t="shared" si="31"/>
        <v>0</v>
      </c>
      <c r="K315" s="99">
        <f t="shared" si="32"/>
        <v>-400000</v>
      </c>
    </row>
    <row r="316" spans="1:13">
      <c r="A316" s="99" t="s">
        <v>4813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6</v>
      </c>
      <c r="H316" s="99">
        <f t="shared" si="29"/>
        <v>1</v>
      </c>
      <c r="I316" s="99">
        <f t="shared" si="30"/>
        <v>8348450</v>
      </c>
      <c r="J316" s="99">
        <f t="shared" si="31"/>
        <v>0</v>
      </c>
      <c r="K316" s="99">
        <f t="shared" si="32"/>
        <v>8348450</v>
      </c>
    </row>
    <row r="317" spans="1:13">
      <c r="A317" s="11" t="s">
        <v>4839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</v>
      </c>
      <c r="H317" s="99">
        <f t="shared" si="29"/>
        <v>0</v>
      </c>
      <c r="I317" s="99">
        <f t="shared" si="30"/>
        <v>-1097086</v>
      </c>
      <c r="J317" s="99">
        <f t="shared" si="31"/>
        <v>0</v>
      </c>
      <c r="K317" s="99">
        <f t="shared" si="32"/>
        <v>-1097086</v>
      </c>
    </row>
    <row r="318" spans="1:13">
      <c r="A318" s="11" t="s">
        <v>4851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</v>
      </c>
      <c r="H318" s="99">
        <f t="shared" si="29"/>
        <v>1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 t="s">
        <v>4851</v>
      </c>
      <c r="B319" s="18">
        <v>-1866154</v>
      </c>
      <c r="C319" s="18">
        <v>0</v>
      </c>
      <c r="D319" s="18">
        <f t="shared" si="18"/>
        <v>-1866154</v>
      </c>
      <c r="E319" s="19" t="s">
        <v>4861</v>
      </c>
      <c r="F319" s="99">
        <v>0</v>
      </c>
      <c r="G319" s="36">
        <f t="shared" si="28"/>
        <v>1</v>
      </c>
      <c r="H319" s="99">
        <f t="shared" si="29"/>
        <v>0</v>
      </c>
      <c r="I319" s="99">
        <f t="shared" si="30"/>
        <v>-1866154</v>
      </c>
      <c r="J319" s="99">
        <f t="shared" si="31"/>
        <v>0</v>
      </c>
      <c r="K319" s="99">
        <f t="shared" si="32"/>
        <v>-1866154</v>
      </c>
    </row>
    <row r="320" spans="1:13">
      <c r="A320" s="11" t="s">
        <v>4851</v>
      </c>
      <c r="B320" s="18">
        <v>-36600</v>
      </c>
      <c r="C320" s="18">
        <v>0</v>
      </c>
      <c r="D320" s="18">
        <f t="shared" si="18"/>
        <v>-36600</v>
      </c>
      <c r="E320" s="99" t="s">
        <v>4862</v>
      </c>
      <c r="F320" s="99">
        <v>1</v>
      </c>
      <c r="G320" s="36">
        <f t="shared" si="28"/>
        <v>1</v>
      </c>
      <c r="H320" s="99">
        <f t="shared" si="29"/>
        <v>0</v>
      </c>
      <c r="I320" s="99">
        <f t="shared" si="30"/>
        <v>-36600</v>
      </c>
      <c r="J320" s="99">
        <f t="shared" si="31"/>
        <v>0</v>
      </c>
      <c r="K320" s="99">
        <f t="shared" si="32"/>
        <v>-36600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1722807</v>
      </c>
      <c r="C326" s="29">
        <f>SUM(C2:C325)</f>
        <v>0</v>
      </c>
      <c r="D326" s="29">
        <f>SUM(D2:D325)</f>
        <v>1722807</v>
      </c>
      <c r="E326" s="11"/>
      <c r="F326" s="11"/>
      <c r="G326" s="11"/>
      <c r="H326" s="11"/>
      <c r="I326" s="29">
        <f>SUM(I2:I325)</f>
        <v>19192613152</v>
      </c>
      <c r="J326" s="29">
        <f>SUM(J2:J325)</f>
        <v>8687685429</v>
      </c>
      <c r="K326" s="29">
        <f>SUM(K2:K325)</f>
        <v>10504927723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18209310.390891839</v>
      </c>
      <c r="J329" s="29">
        <f>J326/G2</f>
        <v>8242585.7960151806</v>
      </c>
      <c r="K329" s="29">
        <f>K326/G2</f>
        <v>9966724.59487666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2919446</v>
      </c>
      <c r="G333" t="s">
        <v>25</v>
      </c>
      <c r="J333">
        <f>J326/I326*1448696</f>
        <v>655763.49768395431</v>
      </c>
      <c r="K333">
        <f>K326/I326*1448696</f>
        <v>792932.50231604569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4799</v>
      </c>
      <c r="B75" s="113">
        <v>-20000</v>
      </c>
      <c r="C75" s="99" t="s">
        <v>4808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4641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-66850</v>
      </c>
      <c r="C30" s="18">
        <v>0</v>
      </c>
      <c r="D30" s="113">
        <f t="shared" si="0"/>
        <v>-66850</v>
      </c>
      <c r="E30" s="19" t="s">
        <v>4648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4647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4643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4669</v>
      </c>
      <c r="B5" s="18">
        <v>-200000</v>
      </c>
      <c r="C5" s="18">
        <v>0</v>
      </c>
      <c r="D5" s="113">
        <f t="shared" si="0"/>
        <v>-200000</v>
      </c>
      <c r="E5" s="20" t="s">
        <v>4666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4686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4686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4686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4686</v>
      </c>
      <c r="B10" s="18">
        <v>-51400</v>
      </c>
      <c r="C10" s="18">
        <v>0</v>
      </c>
      <c r="D10" s="113">
        <f t="shared" si="0"/>
        <v>-51400</v>
      </c>
      <c r="E10" s="19" t="s">
        <v>4693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4696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4696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4760</v>
      </c>
      <c r="B22" s="18">
        <v>-324747</v>
      </c>
      <c r="C22" s="18">
        <v>0</v>
      </c>
      <c r="D22" s="113">
        <f t="shared" si="0"/>
        <v>-324747</v>
      </c>
      <c r="E22" s="19" t="s">
        <v>4769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4778</v>
      </c>
      <c r="B23" s="18">
        <v>-297992</v>
      </c>
      <c r="C23" s="18">
        <v>0</v>
      </c>
      <c r="D23" s="113">
        <f t="shared" si="0"/>
        <v>-297992</v>
      </c>
      <c r="E23" s="19" t="s">
        <v>4779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4643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4691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4773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4805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4806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4653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4784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4774</v>
      </c>
      <c r="B2" s="95">
        <v>10300</v>
      </c>
      <c r="C2" s="95">
        <v>0</v>
      </c>
      <c r="D2" s="99" t="s">
        <v>4785</v>
      </c>
      <c r="E2" s="96"/>
      <c r="F2" s="96"/>
      <c r="G2" s="96"/>
    </row>
    <row r="3" spans="1:7">
      <c r="A3" s="99" t="s">
        <v>4774</v>
      </c>
      <c r="B3" s="95">
        <v>0</v>
      </c>
      <c r="C3" s="95">
        <v>5500</v>
      </c>
      <c r="D3" s="99" t="s">
        <v>4786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4799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4817</v>
      </c>
      <c r="B6" s="95">
        <v>0</v>
      </c>
      <c r="C6" s="95">
        <v>3000</v>
      </c>
      <c r="D6" s="99" t="s">
        <v>4821</v>
      </c>
      <c r="E6" s="96"/>
      <c r="F6" s="96"/>
      <c r="G6" s="96"/>
    </row>
    <row r="7" spans="1:7">
      <c r="A7" s="99" t="s">
        <v>4817</v>
      </c>
      <c r="B7" s="95">
        <v>9200</v>
      </c>
      <c r="C7" s="95">
        <v>0</v>
      </c>
      <c r="D7" s="99" t="s">
        <v>4785</v>
      </c>
      <c r="E7" s="96"/>
      <c r="F7" s="96"/>
      <c r="G7" s="96"/>
    </row>
    <row r="8" spans="1:7">
      <c r="A8" s="99" t="s">
        <v>4819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4829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4829</v>
      </c>
      <c r="B10" s="95">
        <v>10200</v>
      </c>
      <c r="C10" s="95">
        <v>0</v>
      </c>
      <c r="D10" s="99" t="s">
        <v>4785</v>
      </c>
      <c r="E10" s="96"/>
      <c r="F10" s="96"/>
      <c r="G10" s="96"/>
    </row>
    <row r="11" spans="1:7">
      <c r="A11" s="99" t="s">
        <v>4851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4819</v>
      </c>
      <c r="B26" s="230">
        <v>6700</v>
      </c>
      <c r="C26" s="230">
        <v>0</v>
      </c>
      <c r="D26" s="23" t="s">
        <v>4822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4818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2"/>
  <sheetViews>
    <sheetView topLeftCell="A80" zoomScaleNormal="100" workbookViewId="0">
      <selection activeCell="P56" sqref="P5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1722807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156</v>
      </c>
      <c r="T20" s="168" t="s">
        <v>4309</v>
      </c>
      <c r="U20" s="168">
        <v>192.1</v>
      </c>
      <c r="V20" s="168">
        <f t="shared" ref="V20:V46" si="6">U20*(1+$N$86+$Q$15*S20/36500)</f>
        <v>217.24036383561648</v>
      </c>
      <c r="W20" s="32">
        <f t="shared" ref="W20:W33" si="7">V20*(1+$W$19/100)</f>
        <v>221.58517111232882</v>
      </c>
      <c r="X20" s="32">
        <f t="shared" ref="X20:X33" si="8">V20*(1+$X$19/100)</f>
        <v>225.92997838904114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379239030.15595883</v>
      </c>
      <c r="M21" s="168" t="s">
        <v>4301</v>
      </c>
      <c r="N21" s="113">
        <f t="shared" ref="N21:N25" si="9">O21*P21</f>
        <v>15298822.4</v>
      </c>
      <c r="O21" s="99">
        <v>82429</v>
      </c>
      <c r="P21" s="187">
        <f>P54</f>
        <v>185.6</v>
      </c>
      <c r="Q21" s="169">
        <v>595156</v>
      </c>
      <c r="R21" s="168" t="s">
        <v>4394</v>
      </c>
      <c r="S21" s="194">
        <f>S20-52</f>
        <v>104</v>
      </c>
      <c r="T21" s="168" t="s">
        <v>4397</v>
      </c>
      <c r="U21" s="168">
        <v>5808.5</v>
      </c>
      <c r="V21" s="168">
        <f t="shared" si="6"/>
        <v>6336.9621041095897</v>
      </c>
      <c r="W21" s="32">
        <f t="shared" si="7"/>
        <v>6463.7013461917813</v>
      </c>
      <c r="X21" s="32">
        <f t="shared" si="8"/>
        <v>6590.4405882739738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-768</v>
      </c>
      <c r="M22" s="168" t="s">
        <v>4392</v>
      </c>
      <c r="N22" s="113">
        <f t="shared" si="9"/>
        <v>63971359</v>
      </c>
      <c r="O22" s="99">
        <v>19265</v>
      </c>
      <c r="P22" s="187">
        <f>P44</f>
        <v>3320.6</v>
      </c>
      <c r="Q22" s="169">
        <v>1484689</v>
      </c>
      <c r="R22" s="168" t="s">
        <v>4432</v>
      </c>
      <c r="S22" s="168">
        <f>S21-7</f>
        <v>97</v>
      </c>
      <c r="T22" s="19" t="s">
        <v>4435</v>
      </c>
      <c r="U22" s="168">
        <v>5474</v>
      </c>
      <c r="V22" s="168">
        <f t="shared" si="6"/>
        <v>5942.6343890410963</v>
      </c>
      <c r="W22" s="32">
        <f t="shared" si="7"/>
        <v>6061.487076821918</v>
      </c>
      <c r="X22" s="32">
        <f t="shared" si="8"/>
        <v>6180.3397646027406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4411</v>
      </c>
      <c r="N23" s="113">
        <f t="shared" si="9"/>
        <v>76744691.099999994</v>
      </c>
      <c r="O23" s="99">
        <v>144447</v>
      </c>
      <c r="P23" s="187">
        <f>P48</f>
        <v>531.29999999999995</v>
      </c>
      <c r="Q23" s="169">
        <v>2197673</v>
      </c>
      <c r="R23" s="168" t="s">
        <v>4432</v>
      </c>
      <c r="S23" s="168">
        <f>S22</f>
        <v>97</v>
      </c>
      <c r="T23" s="19" t="s">
        <v>4436</v>
      </c>
      <c r="U23" s="168">
        <v>5349</v>
      </c>
      <c r="V23" s="168">
        <f t="shared" si="6"/>
        <v>5806.9330191780828</v>
      </c>
      <c r="W23" s="32">
        <f>V23*(1+$W$19/100)</f>
        <v>5923.0716795616445</v>
      </c>
      <c r="X23" s="32">
        <f t="shared" si="8"/>
        <v>6039.2103399452062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383909772.15595883</v>
      </c>
      <c r="G24" s="95">
        <f t="shared" si="0"/>
        <v>-103603426.7740202</v>
      </c>
      <c r="H24" s="11"/>
      <c r="I24" s="96"/>
      <c r="J24" s="96"/>
      <c r="K24" s="219"/>
      <c r="L24" s="117"/>
      <c r="M24" s="219" t="s">
        <v>4545</v>
      </c>
      <c r="N24" s="113">
        <f t="shared" si="9"/>
        <v>81669775.400000006</v>
      </c>
      <c r="O24" s="99">
        <v>19918</v>
      </c>
      <c r="P24" s="187">
        <f>P49</f>
        <v>4100.3</v>
      </c>
      <c r="Q24" s="169">
        <v>1353959</v>
      </c>
      <c r="R24" s="168" t="s">
        <v>4432</v>
      </c>
      <c r="S24" s="200">
        <f>S23</f>
        <v>97</v>
      </c>
      <c r="T24" s="19" t="s">
        <v>4478</v>
      </c>
      <c r="U24" s="168">
        <v>192.2</v>
      </c>
      <c r="V24" s="168">
        <f t="shared" si="6"/>
        <v>208.65442630136985</v>
      </c>
      <c r="W24" s="32">
        <f t="shared" si="7"/>
        <v>212.82751482739727</v>
      </c>
      <c r="X24" s="32">
        <f t="shared" si="8"/>
        <v>217.00060335342465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9639592.4000000004</v>
      </c>
      <c r="O25" s="99">
        <v>1828</v>
      </c>
      <c r="P25" s="99">
        <f>P47</f>
        <v>5273.3</v>
      </c>
      <c r="Q25" s="169">
        <v>1614398</v>
      </c>
      <c r="R25" s="168" t="s">
        <v>4440</v>
      </c>
      <c r="S25" s="168">
        <f>S24-3</f>
        <v>94</v>
      </c>
      <c r="T25" s="19" t="s">
        <v>4515</v>
      </c>
      <c r="U25" s="168">
        <v>184.6</v>
      </c>
      <c r="V25" s="168">
        <f t="shared" si="6"/>
        <v>199.9789501369863</v>
      </c>
      <c r="W25" s="32">
        <f t="shared" si="7"/>
        <v>203.97852913972602</v>
      </c>
      <c r="X25" s="32">
        <f t="shared" si="8"/>
        <v>207.97810814246577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72</v>
      </c>
      <c r="T26" s="168" t="s">
        <v>4523</v>
      </c>
      <c r="U26" s="168">
        <v>166.2</v>
      </c>
      <c r="V26" s="168">
        <f t="shared" si="6"/>
        <v>177.24114410958904</v>
      </c>
      <c r="W26" s="32">
        <f t="shared" si="7"/>
        <v>180.78596699178084</v>
      </c>
      <c r="X26" s="32">
        <f t="shared" si="8"/>
        <v>184.33078987397261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71</v>
      </c>
      <c r="T27" s="168" t="s">
        <v>4529</v>
      </c>
      <c r="U27" s="168">
        <v>166</v>
      </c>
      <c r="V27" s="168">
        <f t="shared" si="6"/>
        <v>176.90051506849318</v>
      </c>
      <c r="W27" s="32">
        <f t="shared" si="7"/>
        <v>180.43852536986304</v>
      </c>
      <c r="X27" s="32">
        <f t="shared" si="8"/>
        <v>183.97653567123291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247845.1</v>
      </c>
      <c r="O28" s="69">
        <v>47</v>
      </c>
      <c r="P28" s="99">
        <f>P47</f>
        <v>5273.3</v>
      </c>
      <c r="Q28" s="169">
        <v>1023940</v>
      </c>
      <c r="R28" s="168" t="s">
        <v>4530</v>
      </c>
      <c r="S28" s="199">
        <f>S27-2</f>
        <v>69</v>
      </c>
      <c r="T28" s="168" t="s">
        <v>4536</v>
      </c>
      <c r="U28" s="168">
        <v>160.19999999999999</v>
      </c>
      <c r="V28" s="168">
        <f t="shared" si="6"/>
        <v>170.47386739726028</v>
      </c>
      <c r="W28" s="32">
        <f t="shared" si="7"/>
        <v>173.88334474520548</v>
      </c>
      <c r="X28" s="32">
        <f t="shared" si="8"/>
        <v>177.2928220931507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4392</v>
      </c>
      <c r="N29" s="113">
        <f>O29*P29</f>
        <v>355304.2</v>
      </c>
      <c r="O29" s="69">
        <v>107</v>
      </c>
      <c r="P29" s="99">
        <f>P44</f>
        <v>3320.6</v>
      </c>
      <c r="Q29" s="169">
        <v>168846</v>
      </c>
      <c r="R29" s="168" t="s">
        <v>3691</v>
      </c>
      <c r="S29" s="199">
        <f>S28-28</f>
        <v>41</v>
      </c>
      <c r="T29" s="168" t="s">
        <v>4635</v>
      </c>
      <c r="U29" s="168">
        <v>172.2</v>
      </c>
      <c r="V29" s="168">
        <f t="shared" si="6"/>
        <v>179.54468383561644</v>
      </c>
      <c r="W29" s="32">
        <f t="shared" si="7"/>
        <v>183.13557751232878</v>
      </c>
      <c r="X29" s="32">
        <f t="shared" si="8"/>
        <v>186.72647118904109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4411</v>
      </c>
      <c r="N30" s="113">
        <f>O30*P30</f>
        <v>370847.39999999997</v>
      </c>
      <c r="O30" s="69">
        <v>698</v>
      </c>
      <c r="P30" s="99">
        <f>P48</f>
        <v>531.29999999999995</v>
      </c>
      <c r="Q30" s="169">
        <v>250962</v>
      </c>
      <c r="R30" s="168" t="s">
        <v>4680</v>
      </c>
      <c r="S30" s="199">
        <f>S29-10</f>
        <v>31</v>
      </c>
      <c r="T30" s="168" t="s">
        <v>4681</v>
      </c>
      <c r="U30" s="168">
        <v>5315.5</v>
      </c>
      <c r="V30" s="168">
        <f t="shared" si="6"/>
        <v>5501.4405589041098</v>
      </c>
      <c r="W30" s="32">
        <f t="shared" si="7"/>
        <v>5611.4693700821917</v>
      </c>
      <c r="X30" s="32">
        <f t="shared" si="8"/>
        <v>5721.4981812602746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3217376</v>
      </c>
      <c r="O31" s="69">
        <v>17335</v>
      </c>
      <c r="P31" s="99">
        <f>P54</f>
        <v>185.6</v>
      </c>
      <c r="Q31" s="169">
        <v>350718</v>
      </c>
      <c r="R31" s="219" t="s">
        <v>4735</v>
      </c>
      <c r="S31" s="199">
        <f>S30-7</f>
        <v>24</v>
      </c>
      <c r="T31" s="219" t="s">
        <v>4736</v>
      </c>
      <c r="U31" s="219">
        <v>502.3</v>
      </c>
      <c r="V31" s="219">
        <f t="shared" si="6"/>
        <v>517.17358465753421</v>
      </c>
      <c r="W31" s="32">
        <f t="shared" si="7"/>
        <v>527.51705635068492</v>
      </c>
      <c r="X31" s="32">
        <f t="shared" si="8"/>
        <v>537.86052804383564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9</v>
      </c>
      <c r="T32" s="219" t="s">
        <v>4787</v>
      </c>
      <c r="U32" s="219">
        <v>486.4</v>
      </c>
      <c r="V32" s="219">
        <f t="shared" si="6"/>
        <v>495.20583890410967</v>
      </c>
      <c r="W32" s="32">
        <f t="shared" si="7"/>
        <v>505.10995568219187</v>
      </c>
      <c r="X32" s="32">
        <f t="shared" si="8"/>
        <v>515.01407246027406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4788</v>
      </c>
      <c r="S33" s="199">
        <f>S32-1</f>
        <v>8</v>
      </c>
      <c r="T33" s="219" t="s">
        <v>4789</v>
      </c>
      <c r="U33" s="219">
        <v>476.1</v>
      </c>
      <c r="V33" s="219">
        <f t="shared" si="6"/>
        <v>484.35413917808222</v>
      </c>
      <c r="W33" s="32">
        <f t="shared" si="7"/>
        <v>494.04122196164388</v>
      </c>
      <c r="X33" s="32">
        <f t="shared" si="8"/>
        <v>503.72830474520555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-S148</f>
        <v>-379239030.15595883</v>
      </c>
      <c r="O34" s="96" t="s">
        <v>25</v>
      </c>
      <c r="P34" s="96" t="s">
        <v>25</v>
      </c>
      <c r="Q34" s="169">
        <v>10881161</v>
      </c>
      <c r="R34" s="219" t="s">
        <v>4788</v>
      </c>
      <c r="S34" s="199">
        <f>S33</f>
        <v>8</v>
      </c>
      <c r="T34" s="219" t="s">
        <v>4790</v>
      </c>
      <c r="U34" s="219">
        <v>3095</v>
      </c>
      <c r="V34" s="219">
        <f t="shared" si="6"/>
        <v>3148.6579726027398</v>
      </c>
      <c r="W34" s="32">
        <f t="shared" ref="W34:W46" si="13">V34*(1+$W$19/100)</f>
        <v>3211.6311320547948</v>
      </c>
      <c r="X34" s="32">
        <f t="shared" ref="X34:X46" si="14">V34*(1+$X$19/100)</f>
        <v>3274.6042915068497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4788</v>
      </c>
      <c r="S35" s="199">
        <f>S34</f>
        <v>8</v>
      </c>
      <c r="T35" s="219" t="s">
        <v>4791</v>
      </c>
      <c r="U35" s="219">
        <v>168.8</v>
      </c>
      <c r="V35" s="219">
        <f t="shared" si="6"/>
        <v>171.72648328767124</v>
      </c>
      <c r="W35" s="32">
        <f t="shared" si="13"/>
        <v>175.16101295342466</v>
      </c>
      <c r="X35" s="32">
        <f t="shared" si="14"/>
        <v>178.5955426191781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42750000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4788</v>
      </c>
      <c r="S36" s="199">
        <f>S35</f>
        <v>8</v>
      </c>
      <c r="T36" s="219" t="s">
        <v>4792</v>
      </c>
      <c r="U36" s="219">
        <v>3859.8</v>
      </c>
      <c r="V36" s="219">
        <f t="shared" si="6"/>
        <v>3926.7172997260277</v>
      </c>
      <c r="W36" s="32">
        <f t="shared" si="13"/>
        <v>4005.2516457205484</v>
      </c>
      <c r="X36" s="32">
        <f t="shared" si="14"/>
        <v>4083.785991715069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4857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4799</v>
      </c>
      <c r="S37" s="199">
        <f>S36-1</f>
        <v>7</v>
      </c>
      <c r="T37" s="219" t="s">
        <v>4803</v>
      </c>
      <c r="U37" s="219">
        <v>3099.2</v>
      </c>
      <c r="V37" s="219">
        <f t="shared" si="6"/>
        <v>3150.5533194520549</v>
      </c>
      <c r="W37" s="32">
        <f t="shared" si="13"/>
        <v>3213.5643858410958</v>
      </c>
      <c r="X37" s="32">
        <f t="shared" si="14"/>
        <v>3276.5754522301372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فیزیکی'!M47+3)*10*P55</f>
        <v>33250000</v>
      </c>
      <c r="O38" s="96"/>
      <c r="P38" s="96" t="s">
        <v>25</v>
      </c>
      <c r="Q38" s="169">
        <v>13402013</v>
      </c>
      <c r="R38" s="219" t="s">
        <v>4799</v>
      </c>
      <c r="S38" s="199">
        <f>S37</f>
        <v>7</v>
      </c>
      <c r="T38" s="219" t="s">
        <v>4804</v>
      </c>
      <c r="U38" s="219">
        <v>3853.3</v>
      </c>
      <c r="V38" s="219">
        <f t="shared" si="6"/>
        <v>3917.1486531506857</v>
      </c>
      <c r="W38" s="32">
        <f t="shared" si="13"/>
        <v>3995.4916262136994</v>
      </c>
      <c r="X38" s="32">
        <f t="shared" si="14"/>
        <v>4073.8345992767131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4512</v>
      </c>
      <c r="L39" s="117">
        <v>-1000000</v>
      </c>
      <c r="M39" s="168" t="s">
        <v>4856</v>
      </c>
      <c r="N39" s="113">
        <v>-18000000</v>
      </c>
      <c r="O39" s="96"/>
      <c r="P39" s="114"/>
      <c r="Q39" s="169">
        <v>138358</v>
      </c>
      <c r="R39" s="219" t="s">
        <v>4809</v>
      </c>
      <c r="S39" s="199">
        <f>S38-1</f>
        <v>6</v>
      </c>
      <c r="T39" s="219" t="s">
        <v>4810</v>
      </c>
      <c r="U39" s="219">
        <v>3130</v>
      </c>
      <c r="V39" s="219">
        <f t="shared" si="6"/>
        <v>3179.4625753424657</v>
      </c>
      <c r="W39" s="32">
        <f t="shared" si="13"/>
        <v>3243.0518268493151</v>
      </c>
      <c r="X39" s="32">
        <f t="shared" si="14"/>
        <v>3306.6410783561646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4858</v>
      </c>
      <c r="N40" s="113">
        <v>-47500000</v>
      </c>
      <c r="O40" s="96"/>
      <c r="P40" s="96"/>
      <c r="Q40" s="169">
        <v>3377001</v>
      </c>
      <c r="R40" s="219" t="s">
        <v>4819</v>
      </c>
      <c r="S40" s="199">
        <f>S39-4</f>
        <v>2</v>
      </c>
      <c r="T40" s="219" t="s">
        <v>4825</v>
      </c>
      <c r="U40" s="219">
        <v>3324.8</v>
      </c>
      <c r="V40" s="219">
        <f t="shared" si="6"/>
        <v>3367.1388230136995</v>
      </c>
      <c r="W40" s="32">
        <f t="shared" si="13"/>
        <v>3434.4815994739733</v>
      </c>
      <c r="X40" s="32">
        <f t="shared" si="14"/>
        <v>3501.8243759342477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4819</v>
      </c>
      <c r="S41" s="199">
        <f>S40</f>
        <v>2</v>
      </c>
      <c r="T41" s="219" t="s">
        <v>4823</v>
      </c>
      <c r="U41" s="219">
        <v>4176.3</v>
      </c>
      <c r="V41" s="219">
        <f t="shared" si="6"/>
        <v>4229.4820339726039</v>
      </c>
      <c r="W41" s="32">
        <f t="shared" si="13"/>
        <v>4314.0716746520557</v>
      </c>
      <c r="X41" s="32">
        <f t="shared" si="14"/>
        <v>4398.6613153315084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19965</v>
      </c>
      <c r="P42" t="s">
        <v>25</v>
      </c>
      <c r="Q42" s="169">
        <v>15499033</v>
      </c>
      <c r="R42" s="219" t="s">
        <v>4819</v>
      </c>
      <c r="S42" s="199">
        <f>S41</f>
        <v>2</v>
      </c>
      <c r="T42" s="219" t="s">
        <v>4824</v>
      </c>
      <c r="U42" s="219">
        <v>525.1</v>
      </c>
      <c r="V42" s="219">
        <f t="shared" si="6"/>
        <v>531.7867528767124</v>
      </c>
      <c r="W42" s="32">
        <f t="shared" si="13"/>
        <v>542.42248793424665</v>
      </c>
      <c r="X42" s="32">
        <f t="shared" si="14"/>
        <v>553.05822299178089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9" t="s">
        <v>4829</v>
      </c>
      <c r="S43" s="199">
        <f>S42-1</f>
        <v>1</v>
      </c>
      <c r="T43" s="219" t="s">
        <v>4834</v>
      </c>
      <c r="U43" s="219">
        <v>529.79999999999995</v>
      </c>
      <c r="V43" s="219">
        <f t="shared" si="6"/>
        <v>536.14018191780815</v>
      </c>
      <c r="W43" s="32">
        <f t="shared" si="13"/>
        <v>546.86298555616429</v>
      </c>
      <c r="X43" s="32">
        <f t="shared" si="14"/>
        <v>557.58578919452054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88992080</v>
      </c>
      <c r="O44" s="99">
        <v>26800</v>
      </c>
      <c r="P44" s="99">
        <v>3320.6</v>
      </c>
      <c r="Q44" s="169">
        <v>5420397</v>
      </c>
      <c r="R44" s="219" t="s">
        <v>4829</v>
      </c>
      <c r="S44" s="199">
        <f>S43</f>
        <v>1</v>
      </c>
      <c r="T44" s="219" t="s">
        <v>4835</v>
      </c>
      <c r="U44" s="219">
        <v>5395.9</v>
      </c>
      <c r="V44" s="219">
        <f t="shared" si="6"/>
        <v>5460.4734005479449</v>
      </c>
      <c r="W44" s="32">
        <f t="shared" si="13"/>
        <v>5569.6828685589044</v>
      </c>
      <c r="X44" s="32">
        <f t="shared" si="14"/>
        <v>5678.8923365698629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5" si="15">O45*P45</f>
        <v>722200</v>
      </c>
      <c r="O45" s="69">
        <v>2000</v>
      </c>
      <c r="P45" s="69">
        <v>361.1</v>
      </c>
      <c r="Q45" s="169">
        <v>38533873</v>
      </c>
      <c r="R45" s="219" t="s">
        <v>4829</v>
      </c>
      <c r="S45" s="199">
        <f>S44</f>
        <v>1</v>
      </c>
      <c r="T45" s="219" t="s">
        <v>4836</v>
      </c>
      <c r="U45" s="219">
        <v>3355.8</v>
      </c>
      <c r="V45" s="219">
        <f t="shared" si="6"/>
        <v>3395.9592723287674</v>
      </c>
      <c r="W45" s="32">
        <f t="shared" si="13"/>
        <v>3463.8784577753427</v>
      </c>
      <c r="X45" s="32">
        <f t="shared" si="14"/>
        <v>3531.7976432219184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5"/>
        <v>1116500</v>
      </c>
      <c r="O46" s="69">
        <v>1000</v>
      </c>
      <c r="P46" s="69">
        <v>1116.5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148896898.80000001</v>
      </c>
      <c r="O47" s="69">
        <v>28236</v>
      </c>
      <c r="P47" s="69">
        <v>5273.3</v>
      </c>
      <c r="Q47" s="169">
        <f>SUM(N21:N25)-SUM(Q20:Q46)</f>
        <v>2813087.3000000119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59131033.499999993</v>
      </c>
      <c r="O48" s="69">
        <v>111295</v>
      </c>
      <c r="P48" s="69">
        <v>531.29999999999995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5"/>
        <v>4440624.9000000004</v>
      </c>
      <c r="O49" s="69">
        <v>1083</v>
      </c>
      <c r="P49" s="69">
        <v>4100.3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5"/>
        <v>14078820.300000001</v>
      </c>
      <c r="O50" s="69">
        <v>2913</v>
      </c>
      <c r="P50" s="69">
        <v>4833.1000000000004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5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5"/>
        <v>21238</v>
      </c>
      <c r="O52" s="69">
        <v>1148</v>
      </c>
      <c r="P52" s="69">
        <v>18.5</v>
      </c>
      <c r="Q52" s="168">
        <v>0</v>
      </c>
      <c r="R52" s="168" t="s">
        <v>4172</v>
      </c>
      <c r="S52" s="168">
        <f>S70</f>
        <v>156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4645</v>
      </c>
      <c r="N53" s="117">
        <f t="shared" si="15"/>
        <v>1177000</v>
      </c>
      <c r="O53" s="69">
        <v>5500</v>
      </c>
      <c r="P53" s="69">
        <v>214</v>
      </c>
      <c r="Q53" s="169">
        <v>863944</v>
      </c>
      <c r="R53" s="168" t="s">
        <v>4440</v>
      </c>
      <c r="S53" s="168">
        <f>S52-62</f>
        <v>94</v>
      </c>
      <c r="T53" s="192" t="s">
        <v>4516</v>
      </c>
      <c r="U53" s="168">
        <v>184.6</v>
      </c>
      <c r="V53" s="168">
        <f t="shared" ref="V53:V61" si="16">U53*(1+$N$86+$Q$15*S53/36500)</f>
        <v>199.9789501369863</v>
      </c>
      <c r="W53" s="32">
        <f t="shared" ref="W53:W61" si="17">V53*(1+$W$19/100)</f>
        <v>203.97852913972602</v>
      </c>
      <c r="X53" s="32">
        <f t="shared" ref="X53:X61" si="18">V53*(1+$X$19/100)</f>
        <v>207.97810814246577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235069267.19999999</v>
      </c>
      <c r="O54" s="99">
        <v>1266537</v>
      </c>
      <c r="P54" s="99">
        <v>185.6</v>
      </c>
      <c r="Q54" s="169">
        <v>1692313</v>
      </c>
      <c r="R54" s="168" t="s">
        <v>4519</v>
      </c>
      <c r="S54" s="199">
        <f>S53-21</f>
        <v>73</v>
      </c>
      <c r="T54" s="191" t="s">
        <v>4520</v>
      </c>
      <c r="U54" s="168">
        <v>168.5</v>
      </c>
      <c r="V54" s="168">
        <f t="shared" si="16"/>
        <v>179.82320000000001</v>
      </c>
      <c r="W54" s="32">
        <f t="shared" si="17"/>
        <v>183.41966400000001</v>
      </c>
      <c r="X54" s="32">
        <f t="shared" si="18"/>
        <v>187.01612800000001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14250000</v>
      </c>
      <c r="O55" s="69">
        <v>30</v>
      </c>
      <c r="P55" s="69">
        <v>475000</v>
      </c>
      <c r="Q55" s="169">
        <v>101153</v>
      </c>
      <c r="R55" s="168" t="s">
        <v>4522</v>
      </c>
      <c r="S55" s="199">
        <f>S54-1</f>
        <v>72</v>
      </c>
      <c r="T55" s="191" t="s">
        <v>4524</v>
      </c>
      <c r="U55" s="168">
        <v>166.7</v>
      </c>
      <c r="V55" s="168">
        <f t="shared" si="16"/>
        <v>177.77436054794521</v>
      </c>
      <c r="W55" s="32">
        <f t="shared" si="17"/>
        <v>181.32984775890412</v>
      </c>
      <c r="X55" s="32">
        <f t="shared" si="18"/>
        <v>184.88533496986301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71</v>
      </c>
      <c r="T56" s="191" t="s">
        <v>4528</v>
      </c>
      <c r="U56" s="168">
        <v>166.6</v>
      </c>
      <c r="V56" s="168">
        <f t="shared" si="16"/>
        <v>177.53991452054797</v>
      </c>
      <c r="W56" s="32">
        <f t="shared" si="17"/>
        <v>181.09071281095893</v>
      </c>
      <c r="X56" s="32">
        <f t="shared" si="18"/>
        <v>184.6415111013699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41</v>
      </c>
      <c r="T57" s="191" t="s">
        <v>4635</v>
      </c>
      <c r="U57" s="168">
        <v>172.2</v>
      </c>
      <c r="V57" s="168">
        <f t="shared" si="16"/>
        <v>179.54468383561644</v>
      </c>
      <c r="W57" s="32">
        <f t="shared" si="17"/>
        <v>183.13557751232878</v>
      </c>
      <c r="X57" s="32">
        <f t="shared" si="18"/>
        <v>186.72647118904109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4680</v>
      </c>
      <c r="S58" s="199">
        <f>S57-10</f>
        <v>31</v>
      </c>
      <c r="T58" s="191" t="s">
        <v>4681</v>
      </c>
      <c r="U58" s="168">
        <v>5315.5</v>
      </c>
      <c r="V58" s="168">
        <f t="shared" si="16"/>
        <v>5501.4405589041098</v>
      </c>
      <c r="W58" s="32">
        <f t="shared" si="17"/>
        <v>5611.4693700821917</v>
      </c>
      <c r="X58" s="32">
        <f t="shared" si="18"/>
        <v>5721.4981812602746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4735</v>
      </c>
      <c r="S59" s="199">
        <f>S58-7</f>
        <v>24</v>
      </c>
      <c r="T59" s="191" t="s">
        <v>4737</v>
      </c>
      <c r="U59" s="219">
        <v>502.3</v>
      </c>
      <c r="V59" s="219">
        <f t="shared" si="16"/>
        <v>517.17358465753421</v>
      </c>
      <c r="W59" s="32">
        <f t="shared" si="17"/>
        <v>527.51705635068492</v>
      </c>
      <c r="X59" s="32">
        <f t="shared" si="18"/>
        <v>537.86052804383564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-15362668.799999999</v>
      </c>
      <c r="O60" s="99">
        <v>82773</v>
      </c>
      <c r="P60" s="99">
        <f>P54</f>
        <v>185.6</v>
      </c>
      <c r="Q60" s="169">
        <v>165067</v>
      </c>
      <c r="R60" s="219" t="s">
        <v>4788</v>
      </c>
      <c r="S60" s="199">
        <f>S59-16</f>
        <v>8</v>
      </c>
      <c r="T60" s="191" t="s">
        <v>4797</v>
      </c>
      <c r="U60" s="219">
        <v>3095.9</v>
      </c>
      <c r="V60" s="219">
        <f t="shared" si="16"/>
        <v>3149.5735758904111</v>
      </c>
      <c r="W60" s="32">
        <f t="shared" si="17"/>
        <v>3212.5650474082195</v>
      </c>
      <c r="X60" s="32">
        <f t="shared" si="18"/>
        <v>3275.5565189260278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413751.70000000019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 t="s">
        <v>4448</v>
      </c>
      <c r="N63" s="113">
        <f>-S149</f>
        <v>-14860832.108958352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4761</v>
      </c>
      <c r="N64" s="113">
        <f>50*P55</f>
        <v>23750000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 t="s">
        <v>598</v>
      </c>
      <c r="L66" s="113">
        <f>SUM(L16:L51)</f>
        <v>383909772.15595883</v>
      </c>
      <c r="M66" s="168"/>
      <c r="N66" s="113">
        <f>SUM(N16:N65)</f>
        <v>411575294.63508278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2336112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453909772.15595883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156</v>
      </c>
      <c r="T70" s="5" t="s">
        <v>4347</v>
      </c>
      <c r="U70" s="168">
        <v>192</v>
      </c>
      <c r="V70" s="99">
        <f t="shared" ref="V70:V101" si="20">U70*(1+$N$86+$Q$15*S70/36500)</f>
        <v>217.12727671232881</v>
      </c>
      <c r="W70" s="32">
        <f t="shared" ref="W70:W92" si="21">V70*(1+$W$19/100)</f>
        <v>221.46982224657538</v>
      </c>
      <c r="X70" s="32">
        <f t="shared" ref="X70:X92" si="22">V70*(1+$X$19/100)</f>
        <v>225.81236778082197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125</v>
      </c>
      <c r="T71" s="5" t="s">
        <v>4312</v>
      </c>
      <c r="U71" s="168">
        <v>214.57</v>
      </c>
      <c r="V71" s="99">
        <f t="shared" si="20"/>
        <v>237.54838947945206</v>
      </c>
      <c r="W71" s="32">
        <f t="shared" si="21"/>
        <v>242.29935726904111</v>
      </c>
      <c r="X71" s="32">
        <f t="shared" si="22"/>
        <v>247.05032505863014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4342</v>
      </c>
      <c r="S72" s="5">
        <f>S71-11</f>
        <v>114</v>
      </c>
      <c r="T72" s="5" t="s">
        <v>4346</v>
      </c>
      <c r="U72" s="168">
        <v>206.8</v>
      </c>
      <c r="V72" s="99">
        <f t="shared" si="20"/>
        <v>227.20124493150689</v>
      </c>
      <c r="W72" s="32">
        <f t="shared" si="21"/>
        <v>231.74526983013703</v>
      </c>
      <c r="X72" s="32">
        <f t="shared" si="22"/>
        <v>236.28929472876717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96" t="s">
        <v>4783</v>
      </c>
      <c r="Q73" s="35">
        <v>1429825</v>
      </c>
      <c r="R73" s="5" t="s">
        <v>4373</v>
      </c>
      <c r="S73" s="5">
        <f>S72-7</f>
        <v>107</v>
      </c>
      <c r="T73" s="5" t="s">
        <v>4382</v>
      </c>
      <c r="U73" s="168">
        <v>203.9</v>
      </c>
      <c r="V73" s="99">
        <f t="shared" si="20"/>
        <v>222.9202389041096</v>
      </c>
      <c r="W73" s="32">
        <f t="shared" si="21"/>
        <v>227.37864368219178</v>
      </c>
      <c r="X73" s="32">
        <f t="shared" si="22"/>
        <v>231.83704846027399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122" t="s">
        <v>4412</v>
      </c>
      <c r="O74" s="114"/>
      <c r="Q74" s="35">
        <v>1420747</v>
      </c>
      <c r="R74" s="5" t="s">
        <v>4373</v>
      </c>
      <c r="S74" s="5">
        <f>S73</f>
        <v>107</v>
      </c>
      <c r="T74" s="5" t="s">
        <v>4384</v>
      </c>
      <c r="U74" s="168">
        <v>203.1</v>
      </c>
      <c r="V74" s="99">
        <f t="shared" si="20"/>
        <v>222.04561315068494</v>
      </c>
      <c r="W74" s="32">
        <f t="shared" si="21"/>
        <v>226.48652541369864</v>
      </c>
      <c r="X74" s="32">
        <f t="shared" si="22"/>
        <v>230.92743767671234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4513</v>
      </c>
      <c r="N75" s="96"/>
      <c r="Q75" s="35">
        <v>2412371</v>
      </c>
      <c r="R75" s="5" t="s">
        <v>4375</v>
      </c>
      <c r="S75" s="5">
        <f>S74-1</f>
        <v>106</v>
      </c>
      <c r="T75" s="5" t="s">
        <v>4391</v>
      </c>
      <c r="U75" s="168">
        <v>3930</v>
      </c>
      <c r="V75" s="99">
        <f t="shared" si="20"/>
        <v>4293.584219178083</v>
      </c>
      <c r="W75" s="32">
        <f t="shared" si="21"/>
        <v>4379.4559035616448</v>
      </c>
      <c r="X75" s="32">
        <f t="shared" si="22"/>
        <v>4465.3275879452067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4587</v>
      </c>
      <c r="N76" s="96"/>
      <c r="P76" t="s">
        <v>25</v>
      </c>
      <c r="Q76" s="35">
        <v>2010885</v>
      </c>
      <c r="R76" s="5" t="s">
        <v>4394</v>
      </c>
      <c r="S76" s="5">
        <f>S75-2</f>
        <v>104</v>
      </c>
      <c r="T76" s="5" t="s">
        <v>4400</v>
      </c>
      <c r="U76" s="168">
        <v>202.1</v>
      </c>
      <c r="V76" s="99">
        <f t="shared" si="20"/>
        <v>220.48722410958905</v>
      </c>
      <c r="W76" s="32">
        <f t="shared" si="21"/>
        <v>224.89696859178085</v>
      </c>
      <c r="X76" s="32">
        <f t="shared" si="22"/>
        <v>229.30671307397262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 ht="45">
      <c r="D77" s="1" t="s">
        <v>305</v>
      </c>
      <c r="E77" s="1">
        <v>70000</v>
      </c>
      <c r="K77" s="218" t="s">
        <v>4814</v>
      </c>
      <c r="L77" s="22" t="s">
        <v>4777</v>
      </c>
      <c r="M77" s="211" t="s">
        <v>4750</v>
      </c>
      <c r="N77" s="96"/>
      <c r="P77" s="115"/>
      <c r="Q77" s="35">
        <v>1994038</v>
      </c>
      <c r="R77" s="5" t="s">
        <v>4405</v>
      </c>
      <c r="S77" s="5">
        <f>S76-3</f>
        <v>101</v>
      </c>
      <c r="T77" s="5" t="s">
        <v>4422</v>
      </c>
      <c r="U77" s="168">
        <v>5560.3</v>
      </c>
      <c r="V77" s="99">
        <f t="shared" si="20"/>
        <v>6053.3843572602746</v>
      </c>
      <c r="W77" s="32">
        <f t="shared" si="21"/>
        <v>6174.4520444054806</v>
      </c>
      <c r="X77" s="32">
        <f t="shared" si="22"/>
        <v>6295.5197315506857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>
      <c r="D78" s="1" t="s">
        <v>321</v>
      </c>
      <c r="E78" s="1">
        <v>100000</v>
      </c>
      <c r="K78" t="s">
        <v>4815</v>
      </c>
      <c r="M78" s="122"/>
      <c r="N78" s="96"/>
      <c r="P78" s="115" t="s">
        <v>25</v>
      </c>
      <c r="Q78" s="35">
        <v>444</v>
      </c>
      <c r="R78" s="5" t="s">
        <v>4405</v>
      </c>
      <c r="S78" s="5">
        <f>S77</f>
        <v>101</v>
      </c>
      <c r="T78" s="5" t="s">
        <v>4624</v>
      </c>
      <c r="U78" s="168">
        <v>441.8</v>
      </c>
      <c r="V78" s="99">
        <f t="shared" si="20"/>
        <v>480.9785819178083</v>
      </c>
      <c r="W78" s="32">
        <f t="shared" si="21"/>
        <v>490.59815355616445</v>
      </c>
      <c r="X78" s="32">
        <f t="shared" si="22"/>
        <v>500.21772519452065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4591</v>
      </c>
      <c r="L79" s="96"/>
      <c r="M79" s="122" t="s">
        <v>4589</v>
      </c>
      <c r="O79" t="s">
        <v>25</v>
      </c>
      <c r="P79" s="115"/>
      <c r="Q79" s="35">
        <v>1971103</v>
      </c>
      <c r="R79" s="5" t="s">
        <v>4417</v>
      </c>
      <c r="S79" s="5">
        <f>S78-1</f>
        <v>100</v>
      </c>
      <c r="T79" s="5" t="s">
        <v>4418</v>
      </c>
      <c r="U79" s="168">
        <v>196.2</v>
      </c>
      <c r="V79" s="99">
        <f t="shared" si="20"/>
        <v>213.44839890410958</v>
      </c>
      <c r="W79" s="32">
        <f t="shared" si="21"/>
        <v>217.71736688219178</v>
      </c>
      <c r="X79" s="32">
        <f t="shared" si="22"/>
        <v>221.98633486027398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238222796.79999998</v>
      </c>
      <c r="P80" s="115"/>
      <c r="Q80" s="35">
        <v>1049856</v>
      </c>
      <c r="R80" s="5" t="s">
        <v>4440</v>
      </c>
      <c r="S80" s="5">
        <f>S79-6</f>
        <v>94</v>
      </c>
      <c r="T80" s="5" t="s">
        <v>4479</v>
      </c>
      <c r="U80" s="168">
        <v>184.5</v>
      </c>
      <c r="V80" s="99">
        <f t="shared" si="20"/>
        <v>199.87061917808219</v>
      </c>
      <c r="W80" s="32">
        <f t="shared" si="21"/>
        <v>203.86803156164385</v>
      </c>
      <c r="X80" s="32">
        <f t="shared" si="22"/>
        <v>207.8654439452055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 ht="30">
      <c r="D81" s="31" t="s">
        <v>308</v>
      </c>
      <c r="E81" s="1">
        <v>300000</v>
      </c>
      <c r="K81" s="22" t="s">
        <v>4816</v>
      </c>
      <c r="M81" t="s">
        <v>4267</v>
      </c>
      <c r="P81" s="115"/>
      <c r="Q81" s="35">
        <v>1783234</v>
      </c>
      <c r="R81" s="5" t="s">
        <v>4442</v>
      </c>
      <c r="S81" s="5">
        <f>S80-2</f>
        <v>92</v>
      </c>
      <c r="T81" s="5" t="s">
        <v>4443</v>
      </c>
      <c r="U81" s="168">
        <v>177.5</v>
      </c>
      <c r="V81" s="99">
        <f t="shared" si="20"/>
        <v>192.01512328767123</v>
      </c>
      <c r="W81" s="32">
        <f t="shared" si="21"/>
        <v>195.85542575342467</v>
      </c>
      <c r="X81" s="32">
        <f t="shared" si="22"/>
        <v>199.69572821917808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4593</v>
      </c>
      <c r="N82" t="s">
        <v>25</v>
      </c>
      <c r="P82" s="115"/>
      <c r="Q82" s="35">
        <v>1662335</v>
      </c>
      <c r="R82" s="5" t="s">
        <v>4446</v>
      </c>
      <c r="S82" s="5">
        <f>S81-5</f>
        <v>87</v>
      </c>
      <c r="T82" s="224" t="s">
        <v>4605</v>
      </c>
      <c r="U82" s="168">
        <v>190.3</v>
      </c>
      <c r="V82" s="99">
        <f t="shared" si="20"/>
        <v>205.13192986301371</v>
      </c>
      <c r="W82" s="32">
        <f t="shared" si="21"/>
        <v>209.23456846027398</v>
      </c>
      <c r="X82" s="32">
        <f t="shared" si="22"/>
        <v>213.33720705753427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4595</v>
      </c>
      <c r="S83" s="168">
        <f>S82-37</f>
        <v>50</v>
      </c>
      <c r="T83" s="73" t="s">
        <v>4596</v>
      </c>
      <c r="U83" s="168">
        <v>413</v>
      </c>
      <c r="V83" s="99">
        <f t="shared" si="20"/>
        <v>433.46669589041102</v>
      </c>
      <c r="W83" s="32">
        <f t="shared" si="21"/>
        <v>442.13602980821923</v>
      </c>
      <c r="X83" s="32">
        <f t="shared" si="22"/>
        <v>450.80536372602745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4606</v>
      </c>
      <c r="S84" s="168">
        <f>S83-2</f>
        <v>48</v>
      </c>
      <c r="T84" s="168" t="s">
        <v>4607</v>
      </c>
      <c r="U84" s="168">
        <v>395600</v>
      </c>
      <c r="V84" s="99">
        <f t="shared" si="20"/>
        <v>414597.47068493156</v>
      </c>
      <c r="W84" s="32">
        <f t="shared" si="21"/>
        <v>422889.42009863019</v>
      </c>
      <c r="X84" s="32">
        <f t="shared" si="22"/>
        <v>431181.36951232882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4616</v>
      </c>
      <c r="S85" s="5">
        <f>S84-3</f>
        <v>45</v>
      </c>
      <c r="T85" s="5" t="s">
        <v>4617</v>
      </c>
      <c r="U85" s="168">
        <v>174.9</v>
      </c>
      <c r="V85" s="99">
        <f t="shared" si="20"/>
        <v>182.89652383561648</v>
      </c>
      <c r="W85" s="32">
        <f t="shared" si="21"/>
        <v>186.5544543123288</v>
      </c>
      <c r="X85" s="32">
        <f t="shared" si="22"/>
        <v>190.21238478904115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4622</v>
      </c>
      <c r="S86" s="5">
        <f>S85-1</f>
        <v>44</v>
      </c>
      <c r="T86" s="5" t="s">
        <v>4623</v>
      </c>
      <c r="U86" s="168">
        <v>173</v>
      </c>
      <c r="V86" s="99">
        <f t="shared" si="20"/>
        <v>180.77694246575342</v>
      </c>
      <c r="W86" s="32">
        <f t="shared" si="21"/>
        <v>184.39248131506849</v>
      </c>
      <c r="X86" s="32">
        <f t="shared" si="22"/>
        <v>188.00802016438357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43</v>
      </c>
      <c r="T87" s="5" t="s">
        <v>4626</v>
      </c>
      <c r="U87" s="168">
        <v>171.2</v>
      </c>
      <c r="V87" s="99">
        <f t="shared" si="20"/>
        <v>178.76469479452055</v>
      </c>
      <c r="W87" s="32">
        <f t="shared" si="21"/>
        <v>182.33998869041096</v>
      </c>
      <c r="X87" s="32">
        <f t="shared" si="22"/>
        <v>185.91528258630137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43</v>
      </c>
      <c r="T88" s="168" t="s">
        <v>4628</v>
      </c>
      <c r="U88" s="168">
        <v>749</v>
      </c>
      <c r="V88" s="99">
        <f t="shared" si="20"/>
        <v>782.09553972602748</v>
      </c>
      <c r="W88" s="32">
        <f t="shared" si="21"/>
        <v>797.73745052054801</v>
      </c>
      <c r="X88" s="32">
        <f t="shared" si="22"/>
        <v>813.37936131506865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43</v>
      </c>
      <c r="T89" s="5" t="s">
        <v>4631</v>
      </c>
      <c r="U89" s="168">
        <v>175</v>
      </c>
      <c r="V89" s="99">
        <f t="shared" si="20"/>
        <v>182.73260273972605</v>
      </c>
      <c r="W89" s="32">
        <f t="shared" si="21"/>
        <v>186.38725479452057</v>
      </c>
      <c r="X89" s="32">
        <f t="shared" si="22"/>
        <v>190.0419068493151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4542</v>
      </c>
      <c r="Q90" s="35">
        <v>12636487</v>
      </c>
      <c r="R90" s="5" t="s">
        <v>3691</v>
      </c>
      <c r="S90" s="5">
        <f>S89-2</f>
        <v>41</v>
      </c>
      <c r="T90" s="5" t="s">
        <v>4634</v>
      </c>
      <c r="U90" s="168">
        <v>172.1</v>
      </c>
      <c r="V90" s="99">
        <f t="shared" si="20"/>
        <v>179.440418630137</v>
      </c>
      <c r="W90" s="32">
        <f t="shared" si="21"/>
        <v>183.02922700273976</v>
      </c>
      <c r="X90" s="32">
        <f t="shared" si="22"/>
        <v>186.61803537534249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4543</v>
      </c>
      <c r="Q91" s="169">
        <v>1210169</v>
      </c>
      <c r="R91" s="168" t="s">
        <v>4637</v>
      </c>
      <c r="S91" s="168">
        <f>S90-3</f>
        <v>38</v>
      </c>
      <c r="T91" s="168" t="s">
        <v>4638</v>
      </c>
      <c r="U91" s="168">
        <v>1204.7</v>
      </c>
      <c r="V91" s="99">
        <f t="shared" si="20"/>
        <v>1253.3104701369864</v>
      </c>
      <c r="W91" s="32">
        <f t="shared" si="21"/>
        <v>1278.3766795397262</v>
      </c>
      <c r="X91" s="32">
        <f t="shared" si="22"/>
        <v>1303.442888942466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4544</v>
      </c>
      <c r="Q92" s="35">
        <v>12131182</v>
      </c>
      <c r="R92" s="5" t="s">
        <v>4637</v>
      </c>
      <c r="S92" s="5">
        <f>S91</f>
        <v>38</v>
      </c>
      <c r="T92" s="5" t="s">
        <v>4639</v>
      </c>
      <c r="U92" s="168">
        <v>171.8</v>
      </c>
      <c r="V92" s="99">
        <f t="shared" si="20"/>
        <v>178.7322476712329</v>
      </c>
      <c r="W92" s="32">
        <f t="shared" si="21"/>
        <v>182.30689262465756</v>
      </c>
      <c r="X92" s="32">
        <f t="shared" si="22"/>
        <v>185.88153757808223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4392</v>
      </c>
      <c r="Q93" s="35">
        <v>8978273</v>
      </c>
      <c r="R93" s="5" t="s">
        <v>4643</v>
      </c>
      <c r="S93" s="5">
        <f>S92-1</f>
        <v>37</v>
      </c>
      <c r="T93" s="5" t="s">
        <v>4644</v>
      </c>
      <c r="U93" s="168">
        <v>3405.9</v>
      </c>
      <c r="V93" s="99">
        <f t="shared" si="20"/>
        <v>3540.7176526027406</v>
      </c>
      <c r="W93" s="32">
        <f t="shared" ref="W93:W136" si="23">V93*(1+$W$19/100)</f>
        <v>3611.5320056547953</v>
      </c>
      <c r="X93" s="32">
        <f t="shared" ref="X93:X136" si="24">V93*(1+$X$19/100)</f>
        <v>3682.3463587068504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4411</v>
      </c>
      <c r="Q94" s="169">
        <v>1013762</v>
      </c>
      <c r="R94" s="168" t="s">
        <v>4643</v>
      </c>
      <c r="S94" s="168">
        <f>S93</f>
        <v>37</v>
      </c>
      <c r="T94" s="168" t="s">
        <v>4646</v>
      </c>
      <c r="U94" s="168">
        <v>217.1</v>
      </c>
      <c r="V94" s="99">
        <f t="shared" si="20"/>
        <v>225.69359123287674</v>
      </c>
      <c r="W94" s="32">
        <f t="shared" si="23"/>
        <v>230.20746305753428</v>
      </c>
      <c r="X94" s="32">
        <f t="shared" si="24"/>
        <v>234.72133488219183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4545</v>
      </c>
      <c r="Q95" s="169">
        <v>12953846</v>
      </c>
      <c r="R95" s="168" t="s">
        <v>4643</v>
      </c>
      <c r="S95" s="168">
        <f>S94</f>
        <v>37</v>
      </c>
      <c r="T95" s="168" t="s">
        <v>4772</v>
      </c>
      <c r="U95" s="168">
        <v>4500.5</v>
      </c>
      <c r="V95" s="99">
        <f t="shared" si="20"/>
        <v>4678.645819178083</v>
      </c>
      <c r="W95" s="32">
        <f t="shared" si="23"/>
        <v>4772.2187355616452</v>
      </c>
      <c r="X95" s="32">
        <f t="shared" si="24"/>
        <v>4865.7916519452065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4396</v>
      </c>
      <c r="Q96" s="35">
        <v>4068640</v>
      </c>
      <c r="R96" s="5" t="s">
        <v>4650</v>
      </c>
      <c r="S96" s="5">
        <f>S95-1</f>
        <v>36</v>
      </c>
      <c r="T96" s="5" t="s">
        <v>4651</v>
      </c>
      <c r="U96" s="168">
        <v>3322.3</v>
      </c>
      <c r="V96" s="99">
        <f t="shared" si="20"/>
        <v>3451.2598531506851</v>
      </c>
      <c r="W96" s="32">
        <f t="shared" si="23"/>
        <v>3520.2850502136989</v>
      </c>
      <c r="X96" s="32">
        <f t="shared" si="24"/>
        <v>3589.3102472767127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M97" t="s">
        <v>4546</v>
      </c>
      <c r="Q97" s="35">
        <v>12656982</v>
      </c>
      <c r="R97" s="5" t="s">
        <v>4650</v>
      </c>
      <c r="S97" s="5">
        <f>S96</f>
        <v>36</v>
      </c>
      <c r="T97" s="5" t="s">
        <v>4652</v>
      </c>
      <c r="U97" s="168">
        <v>5249.9</v>
      </c>
      <c r="V97" s="99">
        <f t="shared" si="20"/>
        <v>5453.6824197260275</v>
      </c>
      <c r="W97" s="32">
        <f t="shared" si="23"/>
        <v>5562.7560681205478</v>
      </c>
      <c r="X97" s="32">
        <f t="shared" si="24"/>
        <v>5671.8297165150689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4547</v>
      </c>
      <c r="P98" s="115"/>
      <c r="Q98" s="169">
        <v>100905</v>
      </c>
      <c r="R98" s="168" t="s">
        <v>4653</v>
      </c>
      <c r="S98" s="168">
        <f>S97-1</f>
        <v>35</v>
      </c>
      <c r="T98" s="168" t="s">
        <v>4659</v>
      </c>
      <c r="U98" s="168">
        <v>372</v>
      </c>
      <c r="V98" s="99">
        <f t="shared" si="20"/>
        <v>386.1543452054795</v>
      </c>
      <c r="W98" s="32">
        <f t="shared" si="23"/>
        <v>393.87743210958911</v>
      </c>
      <c r="X98" s="32">
        <f t="shared" si="24"/>
        <v>401.60051901369872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4653</v>
      </c>
      <c r="S99" s="5">
        <f>S98</f>
        <v>35</v>
      </c>
      <c r="T99" s="5" t="s">
        <v>4657</v>
      </c>
      <c r="U99" s="168">
        <v>5330</v>
      </c>
      <c r="V99" s="99">
        <f t="shared" si="20"/>
        <v>5532.8028493150696</v>
      </c>
      <c r="W99" s="32">
        <f t="shared" si="23"/>
        <v>5643.4589063013709</v>
      </c>
      <c r="X99" s="32">
        <f t="shared" si="24"/>
        <v>5754.1149632876723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4653</v>
      </c>
      <c r="S100" s="5">
        <f>S99</f>
        <v>35</v>
      </c>
      <c r="T100" s="5" t="s">
        <v>4658</v>
      </c>
      <c r="U100" s="168">
        <v>498.9</v>
      </c>
      <c r="V100" s="99">
        <f t="shared" si="20"/>
        <v>517.88280328767132</v>
      </c>
      <c r="W100" s="32">
        <f t="shared" si="23"/>
        <v>528.24045935342474</v>
      </c>
      <c r="X100" s="32">
        <f t="shared" si="24"/>
        <v>538.59811541917816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4669</v>
      </c>
      <c r="S101" s="168">
        <f>S100-1</f>
        <v>34</v>
      </c>
      <c r="T101" s="168" t="s">
        <v>4741</v>
      </c>
      <c r="U101" s="168">
        <v>724.8</v>
      </c>
      <c r="V101" s="99">
        <f t="shared" si="20"/>
        <v>751.82213260273966</v>
      </c>
      <c r="W101" s="32">
        <f t="shared" si="23"/>
        <v>766.85857525479446</v>
      </c>
      <c r="X101" s="32">
        <f t="shared" si="24"/>
        <v>781.89501790684926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F102" s="99" t="s">
        <v>4740</v>
      </c>
      <c r="G102" s="99" t="s">
        <v>941</v>
      </c>
      <c r="H102" s="99" t="s">
        <v>4717</v>
      </c>
      <c r="I102" s="99" t="s">
        <v>4716</v>
      </c>
      <c r="J102" s="32" t="s">
        <v>4548</v>
      </c>
      <c r="K102" s="168" t="s">
        <v>4702</v>
      </c>
      <c r="L102" s="32" t="s">
        <v>4704</v>
      </c>
      <c r="M102" s="32" t="s">
        <v>4672</v>
      </c>
      <c r="N102" s="168" t="s">
        <v>4673</v>
      </c>
      <c r="Q102" s="35">
        <v>37856769</v>
      </c>
      <c r="R102" s="5" t="s">
        <v>4669</v>
      </c>
      <c r="S102" s="5">
        <f>S101</f>
        <v>34</v>
      </c>
      <c r="T102" s="5" t="s">
        <v>4671</v>
      </c>
      <c r="U102" s="168">
        <v>5393.6</v>
      </c>
      <c r="V102" s="99">
        <f t="shared" ref="V102:V132" si="26">U102*(1+$N$86+$Q$15*S102/36500)</f>
        <v>5594.6852295890412</v>
      </c>
      <c r="W102" s="32">
        <f t="shared" si="23"/>
        <v>5706.5789341808222</v>
      </c>
      <c r="X102" s="32">
        <f t="shared" si="24"/>
        <v>5818.4726387726032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184">
        <f t="shared" ref="F103:F108" si="27">$L$112/G103</f>
        <v>25592.672413793105</v>
      </c>
      <c r="G103" s="184">
        <f>P54</f>
        <v>185.6</v>
      </c>
      <c r="H103" s="184" t="s">
        <v>4721</v>
      </c>
      <c r="I103" s="184" t="s">
        <v>4720</v>
      </c>
      <c r="J103" s="220" t="s">
        <v>4243</v>
      </c>
      <c r="K103" s="201">
        <v>60</v>
      </c>
      <c r="L103" s="221">
        <f t="shared" ref="L103:L109" si="28">K103*$L$112</f>
        <v>285000000</v>
      </c>
      <c r="M103" s="221">
        <f>N21+N31+N54</f>
        <v>253585465.59999999</v>
      </c>
      <c r="N103" s="185">
        <f t="shared" ref="N103:N109" si="29">L103-M103</f>
        <v>31414534.400000006</v>
      </c>
      <c r="Q103" s="35">
        <v>155151</v>
      </c>
      <c r="R103" s="5" t="s">
        <v>4680</v>
      </c>
      <c r="S103" s="5">
        <f>S102-3</f>
        <v>31</v>
      </c>
      <c r="T103" s="5" t="s">
        <v>4682</v>
      </c>
      <c r="U103" s="168">
        <v>5325.9</v>
      </c>
      <c r="V103" s="99">
        <f t="shared" si="26"/>
        <v>5512.2043594520546</v>
      </c>
      <c r="W103" s="32">
        <f t="shared" si="23"/>
        <v>5622.4484466410959</v>
      </c>
      <c r="X103" s="32">
        <f t="shared" si="24"/>
        <v>5732.6925338301371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99">
        <f t="shared" si="27"/>
        <v>900.76422733392747</v>
      </c>
      <c r="G104" s="99">
        <f>P47</f>
        <v>5273.3</v>
      </c>
      <c r="H104" s="99" t="s">
        <v>4723</v>
      </c>
      <c r="I104" s="99" t="s">
        <v>4722</v>
      </c>
      <c r="J104" s="32" t="s">
        <v>4396</v>
      </c>
      <c r="K104" s="168">
        <v>30</v>
      </c>
      <c r="L104" s="1">
        <f t="shared" si="28"/>
        <v>142500000</v>
      </c>
      <c r="M104" s="1">
        <f>N25+N47+N28</f>
        <v>158784336.30000001</v>
      </c>
      <c r="N104" s="113">
        <f t="shared" si="29"/>
        <v>-16284336.300000012</v>
      </c>
      <c r="Q104" s="169">
        <v>109726</v>
      </c>
      <c r="R104" s="168" t="s">
        <v>4680</v>
      </c>
      <c r="S104" s="168">
        <f>S103</f>
        <v>31</v>
      </c>
      <c r="T104" s="168" t="s">
        <v>4683</v>
      </c>
      <c r="U104" s="168">
        <v>3900.7</v>
      </c>
      <c r="V104" s="99">
        <f t="shared" si="26"/>
        <v>4037.1496920547947</v>
      </c>
      <c r="W104" s="32">
        <f t="shared" si="23"/>
        <v>4117.8926858958903</v>
      </c>
      <c r="X104" s="32">
        <f t="shared" si="24"/>
        <v>4198.6356797369863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184">
        <f t="shared" si="27"/>
        <v>1430.4643739083299</v>
      </c>
      <c r="G105" s="184">
        <f>P44</f>
        <v>3320.6</v>
      </c>
      <c r="H105" s="184" t="s">
        <v>3881</v>
      </c>
      <c r="I105" s="184" t="s">
        <v>4724</v>
      </c>
      <c r="J105" s="220" t="s">
        <v>4392</v>
      </c>
      <c r="K105" s="201">
        <v>30</v>
      </c>
      <c r="L105" s="221">
        <f t="shared" si="28"/>
        <v>142500000</v>
      </c>
      <c r="M105" s="221">
        <f>N44+N29+N22</f>
        <v>153318743.19999999</v>
      </c>
      <c r="N105" s="185">
        <f t="shared" si="29"/>
        <v>-10818743.199999988</v>
      </c>
      <c r="Q105" s="35">
        <v>8938737</v>
      </c>
      <c r="R105" s="5" t="s">
        <v>4686</v>
      </c>
      <c r="S105" s="5">
        <f>S104-1</f>
        <v>30</v>
      </c>
      <c r="T105" s="5" t="s">
        <v>4688</v>
      </c>
      <c r="U105" s="168">
        <v>5179.5</v>
      </c>
      <c r="V105" s="99">
        <f t="shared" si="26"/>
        <v>5356.7098520547952</v>
      </c>
      <c r="W105" s="32">
        <f t="shared" si="23"/>
        <v>5463.844049095891</v>
      </c>
      <c r="X105" s="32">
        <f t="shared" si="24"/>
        <v>5570.9782461369869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99">
        <f t="shared" si="27"/>
        <v>8940.3350272915504</v>
      </c>
      <c r="G106" s="99">
        <f>P48</f>
        <v>531.29999999999995</v>
      </c>
      <c r="H106" s="99" t="s">
        <v>4719</v>
      </c>
      <c r="I106" s="99" t="s">
        <v>4718</v>
      </c>
      <c r="J106" s="32" t="s">
        <v>4411</v>
      </c>
      <c r="K106" s="168">
        <v>30</v>
      </c>
      <c r="L106" s="1">
        <f t="shared" si="28"/>
        <v>142500000</v>
      </c>
      <c r="M106" s="1">
        <f>N48+N23+N30</f>
        <v>136246572</v>
      </c>
      <c r="N106" s="113">
        <f t="shared" si="29"/>
        <v>6253428</v>
      </c>
      <c r="Q106" s="35">
        <v>2595417</v>
      </c>
      <c r="R106" s="5" t="s">
        <v>4696</v>
      </c>
      <c r="S106" s="5">
        <f>S105-1</f>
        <v>29</v>
      </c>
      <c r="T106" s="5" t="s">
        <v>4697</v>
      </c>
      <c r="U106" s="168">
        <v>4803</v>
      </c>
      <c r="V106" s="99">
        <f t="shared" si="26"/>
        <v>4963.6439013698628</v>
      </c>
      <c r="W106" s="32">
        <f t="shared" si="23"/>
        <v>5062.9167793972601</v>
      </c>
      <c r="X106" s="32">
        <f t="shared" si="24"/>
        <v>5162.1896574246575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184">
        <f t="shared" si="27"/>
        <v>982.80606649976198</v>
      </c>
      <c r="G107" s="184">
        <f>P50</f>
        <v>4833.1000000000004</v>
      </c>
      <c r="H107" s="184" t="s">
        <v>4725</v>
      </c>
      <c r="I107" s="184" t="s">
        <v>4724</v>
      </c>
      <c r="J107" s="220" t="s">
        <v>4544</v>
      </c>
      <c r="K107" s="201">
        <v>19</v>
      </c>
      <c r="L107" s="221">
        <f t="shared" si="28"/>
        <v>90250000</v>
      </c>
      <c r="M107" s="221">
        <f>N50</f>
        <v>14078820.300000001</v>
      </c>
      <c r="N107" s="185">
        <f t="shared" si="29"/>
        <v>76171179.700000003</v>
      </c>
      <c r="Q107" s="169">
        <v>2505816</v>
      </c>
      <c r="R107" s="168" t="s">
        <v>4696</v>
      </c>
      <c r="S107" s="168">
        <f>S106</f>
        <v>29</v>
      </c>
      <c r="T107" s="168" t="s">
        <v>4698</v>
      </c>
      <c r="U107" s="168">
        <v>3723</v>
      </c>
      <c r="V107" s="99">
        <f t="shared" si="26"/>
        <v>3847.5216</v>
      </c>
      <c r="W107" s="32">
        <f t="shared" si="23"/>
        <v>3924.4720320000001</v>
      </c>
      <c r="X107" s="32">
        <f t="shared" si="24"/>
        <v>4001.4224640000002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99">
        <f t="shared" si="27"/>
        <v>1158.4518205984928</v>
      </c>
      <c r="G108" s="99">
        <f>P49</f>
        <v>4100.3</v>
      </c>
      <c r="H108" s="99" t="s">
        <v>4726</v>
      </c>
      <c r="I108" s="99" t="s">
        <v>4727</v>
      </c>
      <c r="J108" s="32" t="s">
        <v>4545</v>
      </c>
      <c r="K108" s="168">
        <v>19</v>
      </c>
      <c r="L108" s="1">
        <f t="shared" si="28"/>
        <v>90250000</v>
      </c>
      <c r="M108" s="1">
        <f>N49+N24</f>
        <v>86110400.300000012</v>
      </c>
      <c r="N108" s="113">
        <f t="shared" si="29"/>
        <v>4139599.6999999881</v>
      </c>
      <c r="Q108" s="169">
        <v>183283</v>
      </c>
      <c r="R108" s="215" t="s">
        <v>4700</v>
      </c>
      <c r="S108" s="215">
        <f>S107-1</f>
        <v>28</v>
      </c>
      <c r="T108" s="215" t="s">
        <v>4714</v>
      </c>
      <c r="U108" s="215">
        <v>347.5</v>
      </c>
      <c r="V108" s="99">
        <f t="shared" si="26"/>
        <v>358.85610958904113</v>
      </c>
      <c r="W108" s="32">
        <f t="shared" si="23"/>
        <v>366.03323178082195</v>
      </c>
      <c r="X108" s="32">
        <f t="shared" si="24"/>
        <v>373.21035397260277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184"/>
      <c r="G109" s="184"/>
      <c r="H109" s="184"/>
      <c r="I109" s="184"/>
      <c r="J109" s="220" t="s">
        <v>4685</v>
      </c>
      <c r="K109" s="201">
        <v>5</v>
      </c>
      <c r="L109" s="221">
        <f t="shared" si="28"/>
        <v>23750000</v>
      </c>
      <c r="M109" s="221">
        <f>N45+N46+N51+N53+N52</f>
        <v>6548288</v>
      </c>
      <c r="N109" s="185">
        <f t="shared" si="29"/>
        <v>17201712</v>
      </c>
      <c r="Q109" s="169">
        <v>177438</v>
      </c>
      <c r="R109" s="215" t="s">
        <v>4700</v>
      </c>
      <c r="S109" s="215">
        <f t="shared" ref="S109:S113" si="30">S108</f>
        <v>28</v>
      </c>
      <c r="T109" s="215" t="s">
        <v>4709</v>
      </c>
      <c r="U109" s="215">
        <v>207.3</v>
      </c>
      <c r="V109" s="99">
        <f t="shared" si="26"/>
        <v>214.07445041095895</v>
      </c>
      <c r="W109" s="32">
        <f t="shared" si="23"/>
        <v>218.35593941917813</v>
      </c>
      <c r="X109" s="32">
        <f t="shared" si="24"/>
        <v>222.63742842739731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184"/>
      <c r="G110" s="184"/>
      <c r="H110" s="184"/>
      <c r="I110" s="184"/>
      <c r="J110" s="220" t="s">
        <v>4846</v>
      </c>
      <c r="K110" s="201"/>
      <c r="L110" s="221"/>
      <c r="M110" s="221"/>
      <c r="N110" s="185">
        <v>50000000</v>
      </c>
      <c r="Q110" s="35">
        <v>559461</v>
      </c>
      <c r="R110" s="5" t="s">
        <v>4700</v>
      </c>
      <c r="S110" s="5">
        <f t="shared" si="30"/>
        <v>28</v>
      </c>
      <c r="T110" s="5" t="s">
        <v>4710</v>
      </c>
      <c r="U110" s="215">
        <v>508.1</v>
      </c>
      <c r="V110" s="99">
        <f t="shared" si="26"/>
        <v>524.70442958904118</v>
      </c>
      <c r="W110" s="32">
        <f t="shared" si="23"/>
        <v>535.19851818082202</v>
      </c>
      <c r="X110" s="32">
        <f t="shared" si="24"/>
        <v>545.69260677260286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99"/>
      <c r="G111" s="99"/>
      <c r="H111" s="99"/>
      <c r="I111" s="99"/>
      <c r="J111" s="168" t="s">
        <v>4705</v>
      </c>
      <c r="K111" s="168">
        <f>SUM(K103:K109)</f>
        <v>193</v>
      </c>
      <c r="L111" s="168"/>
      <c r="M111" s="168"/>
      <c r="N111" s="169"/>
      <c r="Q111" s="35">
        <v>169080</v>
      </c>
      <c r="R111" s="5" t="s">
        <v>4700</v>
      </c>
      <c r="S111" s="5">
        <f t="shared" si="30"/>
        <v>28</v>
      </c>
      <c r="T111" s="5" t="s">
        <v>4711</v>
      </c>
      <c r="U111" s="215">
        <v>168.3</v>
      </c>
      <c r="V111" s="99">
        <f t="shared" si="26"/>
        <v>173.79995178082194</v>
      </c>
      <c r="W111" s="32">
        <f t="shared" si="23"/>
        <v>177.27595081643838</v>
      </c>
      <c r="X111" s="32">
        <f t="shared" si="24"/>
        <v>180.75194985205482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 t="s">
        <v>25</v>
      </c>
      <c r="I112" s="184"/>
      <c r="J112" s="201"/>
      <c r="K112" s="201">
        <v>24</v>
      </c>
      <c r="L112" s="39">
        <f>10*P55</f>
        <v>4750000</v>
      </c>
      <c r="M112" s="221">
        <f>K112*L112</f>
        <v>114000000</v>
      </c>
      <c r="N112" s="185">
        <f>SUM(N103:N110)-M112</f>
        <v>44077374.300000012</v>
      </c>
      <c r="Q112" s="35">
        <v>9376000</v>
      </c>
      <c r="R112" s="5" t="s">
        <v>4700</v>
      </c>
      <c r="S112" s="5">
        <f>S111</f>
        <v>28</v>
      </c>
      <c r="T112" s="5" t="s">
        <v>4712</v>
      </c>
      <c r="U112" s="215">
        <v>3184.1</v>
      </c>
      <c r="V112" s="99">
        <f t="shared" si="26"/>
        <v>3288.1546432876712</v>
      </c>
      <c r="W112" s="32">
        <f t="shared" si="23"/>
        <v>3353.9177361534248</v>
      </c>
      <c r="X112" s="32">
        <f t="shared" si="24"/>
        <v>3419.680829019178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 ht="30">
      <c r="F113" s="99"/>
      <c r="G113" s="99"/>
      <c r="H113" s="99"/>
      <c r="I113" s="99"/>
      <c r="J113" s="168"/>
      <c r="K113" s="216" t="s">
        <v>4838</v>
      </c>
      <c r="L113" s="168" t="s">
        <v>4253</v>
      </c>
      <c r="M113" s="168" t="s">
        <v>4694</v>
      </c>
      <c r="N113" s="168" t="s">
        <v>4695</v>
      </c>
      <c r="Q113" s="169">
        <v>128675</v>
      </c>
      <c r="R113" s="215" t="s">
        <v>4700</v>
      </c>
      <c r="S113" s="215">
        <f t="shared" si="30"/>
        <v>28</v>
      </c>
      <c r="T113" s="215" t="s">
        <v>4713</v>
      </c>
      <c r="U113" s="215">
        <v>699.9</v>
      </c>
      <c r="V113" s="99">
        <f t="shared" si="26"/>
        <v>722.77234849315073</v>
      </c>
      <c r="W113" s="32">
        <f t="shared" si="23"/>
        <v>737.22779546301376</v>
      </c>
      <c r="X113" s="32">
        <f t="shared" si="24"/>
        <v>751.6832424328768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 ht="30">
      <c r="F114" s="184"/>
      <c r="G114" s="184"/>
      <c r="H114" s="184"/>
      <c r="I114" s="184"/>
      <c r="J114" s="236" t="s">
        <v>4703</v>
      </c>
      <c r="K114" s="201"/>
      <c r="L114" s="201"/>
      <c r="M114" s="201"/>
      <c r="N114" s="201"/>
      <c r="Q114" s="35">
        <v>13100555</v>
      </c>
      <c r="R114" s="5" t="s">
        <v>4728</v>
      </c>
      <c r="S114" s="5">
        <f>S113-1</f>
        <v>27</v>
      </c>
      <c r="T114" s="5" t="s">
        <v>4729</v>
      </c>
      <c r="U114" s="215">
        <v>3180.5</v>
      </c>
      <c r="V114" s="99">
        <f t="shared" si="26"/>
        <v>3281.9971616438361</v>
      </c>
      <c r="W114" s="32">
        <f t="shared" si="23"/>
        <v>3347.6371048767128</v>
      </c>
      <c r="X114" s="32">
        <f t="shared" si="24"/>
        <v>3413.2770481095895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M115" t="s">
        <v>25</v>
      </c>
      <c r="Q115" s="35">
        <v>622942</v>
      </c>
      <c r="R115" s="5" t="s">
        <v>4728</v>
      </c>
      <c r="S115" s="5">
        <f>S114</f>
        <v>27</v>
      </c>
      <c r="T115" s="5" t="s">
        <v>4730</v>
      </c>
      <c r="U115" s="215">
        <v>503.3</v>
      </c>
      <c r="V115" s="99">
        <f t="shared" si="26"/>
        <v>519.36147506849329</v>
      </c>
      <c r="W115" s="32">
        <f t="shared" si="23"/>
        <v>529.74870456986321</v>
      </c>
      <c r="X115" s="32">
        <f t="shared" si="24"/>
        <v>540.13593407123301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P116" s="114"/>
      <c r="Q116" s="35">
        <v>1472140</v>
      </c>
      <c r="R116" s="5" t="s">
        <v>4735</v>
      </c>
      <c r="S116" s="5">
        <f>S115-3</f>
        <v>24</v>
      </c>
      <c r="T116" s="5" t="s">
        <v>4739</v>
      </c>
      <c r="U116" s="168">
        <v>502</v>
      </c>
      <c r="V116" s="99">
        <f t="shared" si="26"/>
        <v>516.86470136986304</v>
      </c>
      <c r="W116" s="32">
        <f t="shared" si="23"/>
        <v>527.20199539726036</v>
      </c>
      <c r="X116" s="32">
        <f t="shared" si="24"/>
        <v>537.53928942465757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9"/>
      <c r="G117" s="219"/>
      <c r="H117" s="219"/>
      <c r="I117" s="219"/>
      <c r="J117" s="219" t="s">
        <v>4840</v>
      </c>
      <c r="K117" s="168" t="s">
        <v>4548</v>
      </c>
      <c r="L117" s="168" t="s">
        <v>4549</v>
      </c>
      <c r="M117" s="168" t="s">
        <v>4438</v>
      </c>
      <c r="N117" s="56" t="s">
        <v>190</v>
      </c>
      <c r="Q117" s="35">
        <v>4394591</v>
      </c>
      <c r="R117" s="5" t="s">
        <v>4742</v>
      </c>
      <c r="S117" s="5">
        <f>S116-1</f>
        <v>23</v>
      </c>
      <c r="T117" s="5" t="s">
        <v>4743</v>
      </c>
      <c r="U117" s="168">
        <v>481.7</v>
      </c>
      <c r="V117" s="99">
        <f t="shared" si="26"/>
        <v>495.59407561643837</v>
      </c>
      <c r="W117" s="32">
        <f t="shared" si="23"/>
        <v>505.50595712876714</v>
      </c>
      <c r="X117" s="32">
        <f t="shared" si="24"/>
        <v>515.41783864109595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F118" s="219" t="s">
        <v>4364</v>
      </c>
      <c r="G118" s="219" t="s">
        <v>941</v>
      </c>
      <c r="H118" s="219" t="s">
        <v>4548</v>
      </c>
      <c r="I118" s="219" t="s">
        <v>937</v>
      </c>
      <c r="J118" s="219" t="s">
        <v>4841</v>
      </c>
      <c r="K118" s="168" t="s">
        <v>4243</v>
      </c>
      <c r="L118" s="169">
        <v>1100000</v>
      </c>
      <c r="M118" s="169">
        <v>1637000</v>
      </c>
      <c r="N118" s="168">
        <f t="shared" ref="N118:N126" si="31">(M118-L118)*100/L118</f>
        <v>48.81818181818182</v>
      </c>
      <c r="Q118" s="117">
        <v>4085110</v>
      </c>
      <c r="R118" s="19" t="s">
        <v>4745</v>
      </c>
      <c r="S118" s="19">
        <f>S117-1</f>
        <v>22</v>
      </c>
      <c r="T118" s="19" t="s">
        <v>4746</v>
      </c>
      <c r="U118" s="219">
        <v>3115.9</v>
      </c>
      <c r="V118" s="99">
        <f t="shared" si="26"/>
        <v>3203.384227945206</v>
      </c>
      <c r="W118" s="32">
        <f t="shared" si="23"/>
        <v>3267.4519125041102</v>
      </c>
      <c r="X118" s="32">
        <f t="shared" si="24"/>
        <v>3331.5195970630143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F119" s="219">
        <v>3307.5</v>
      </c>
      <c r="G119" s="219">
        <f>P44</f>
        <v>3320.6</v>
      </c>
      <c r="H119" s="219" t="s">
        <v>4392</v>
      </c>
      <c r="I119" s="219">
        <v>3761</v>
      </c>
      <c r="J119" s="1">
        <f>I119*P44</f>
        <v>12488776.6</v>
      </c>
      <c r="K119" s="5" t="s">
        <v>4543</v>
      </c>
      <c r="L119" s="169">
        <v>1100000</v>
      </c>
      <c r="M119" s="169">
        <v>4748000</v>
      </c>
      <c r="N119" s="168">
        <f t="shared" si="31"/>
        <v>331.63636363636363</v>
      </c>
      <c r="Q119" s="117">
        <v>205386</v>
      </c>
      <c r="R119" s="19" t="s">
        <v>4747</v>
      </c>
      <c r="S119" s="19">
        <f>S118</f>
        <v>22</v>
      </c>
      <c r="T119" s="19" t="s">
        <v>4748</v>
      </c>
      <c r="U119" s="219">
        <v>178.1</v>
      </c>
      <c r="V119" s="99">
        <f t="shared" si="26"/>
        <v>183.10046246575345</v>
      </c>
      <c r="W119" s="32">
        <f t="shared" si="23"/>
        <v>186.76247171506853</v>
      </c>
      <c r="X119" s="32">
        <f t="shared" si="24"/>
        <v>190.4244809643836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9">
        <v>5249.5</v>
      </c>
      <c r="G120" s="219">
        <f>P47</f>
        <v>5273.3</v>
      </c>
      <c r="H120" s="219" t="s">
        <v>4396</v>
      </c>
      <c r="I120" s="219">
        <v>7163</v>
      </c>
      <c r="J120" s="1">
        <f>I120*P47</f>
        <v>37772647.899999999</v>
      </c>
      <c r="K120" s="5" t="s">
        <v>4544</v>
      </c>
      <c r="L120" s="169">
        <v>1100000</v>
      </c>
      <c r="M120" s="169">
        <v>5137000</v>
      </c>
      <c r="N120" s="168">
        <f t="shared" si="31"/>
        <v>367</v>
      </c>
      <c r="P120" s="114"/>
      <c r="Q120" s="117">
        <v>101496</v>
      </c>
      <c r="R120" s="19" t="s">
        <v>4749</v>
      </c>
      <c r="S120" s="19">
        <f>S119-1</f>
        <v>21</v>
      </c>
      <c r="T120" s="19" t="s">
        <v>4751</v>
      </c>
      <c r="U120" s="219">
        <v>168.1</v>
      </c>
      <c r="V120" s="99">
        <f t="shared" si="26"/>
        <v>172.69074191780823</v>
      </c>
      <c r="W120" s="32">
        <f t="shared" si="23"/>
        <v>176.14455675616441</v>
      </c>
      <c r="X120" s="32">
        <f t="shared" si="24"/>
        <v>179.59837159452056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9">
        <v>519.79999999999995</v>
      </c>
      <c r="G121" s="219">
        <f>P48</f>
        <v>531.29999999999995</v>
      </c>
      <c r="H121" s="219" t="s">
        <v>4411</v>
      </c>
      <c r="I121" s="219">
        <v>0</v>
      </c>
      <c r="J121" s="1">
        <f>I121*P48</f>
        <v>0</v>
      </c>
      <c r="K121" s="19" t="s">
        <v>4392</v>
      </c>
      <c r="L121" s="169">
        <v>1100000</v>
      </c>
      <c r="M121" s="169">
        <v>4300000</v>
      </c>
      <c r="N121" s="168">
        <f t="shared" si="31"/>
        <v>290.90909090909093</v>
      </c>
      <c r="Q121" s="117">
        <v>8398607</v>
      </c>
      <c r="R121" s="19" t="s">
        <v>4760</v>
      </c>
      <c r="S121" s="19">
        <f>S120-7</f>
        <v>14</v>
      </c>
      <c r="T121" s="19" t="s">
        <v>4762</v>
      </c>
      <c r="U121" s="219">
        <v>3120.5</v>
      </c>
      <c r="V121" s="99">
        <f t="shared" si="26"/>
        <v>3188.9629150684937</v>
      </c>
      <c r="W121" s="32">
        <f t="shared" si="23"/>
        <v>3252.7421733698634</v>
      </c>
      <c r="X121" s="32">
        <f t="shared" si="24"/>
        <v>3316.5214316712336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9">
        <v>4051</v>
      </c>
      <c r="G122" s="219">
        <f>P49</f>
        <v>4100.3</v>
      </c>
      <c r="H122" s="219" t="s">
        <v>4545</v>
      </c>
      <c r="I122" s="219">
        <v>130</v>
      </c>
      <c r="J122" s="1">
        <f>I122*P49</f>
        <v>533039</v>
      </c>
      <c r="K122" s="5" t="s">
        <v>4411</v>
      </c>
      <c r="L122" s="169">
        <v>1100000</v>
      </c>
      <c r="M122" s="169">
        <v>3191000</v>
      </c>
      <c r="N122" s="168">
        <f t="shared" si="31"/>
        <v>190.09090909090909</v>
      </c>
      <c r="Q122" s="117">
        <v>18565999</v>
      </c>
      <c r="R122" s="19" t="s">
        <v>4763</v>
      </c>
      <c r="S122" s="19">
        <f>S121-1</f>
        <v>13</v>
      </c>
      <c r="T122" s="19" t="s">
        <v>4771</v>
      </c>
      <c r="U122" s="219">
        <v>3112.4</v>
      </c>
      <c r="V122" s="99">
        <f t="shared" si="26"/>
        <v>3178.2976087671236</v>
      </c>
      <c r="W122" s="32">
        <f t="shared" si="23"/>
        <v>3241.8635609424659</v>
      </c>
      <c r="X122" s="32">
        <f t="shared" si="24"/>
        <v>3305.4295131178087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4640</v>
      </c>
      <c r="AQ122" t="s">
        <v>25</v>
      </c>
    </row>
    <row r="123" spans="6:43">
      <c r="F123" s="219"/>
      <c r="G123" s="219"/>
      <c r="H123" s="219"/>
      <c r="I123" s="219"/>
      <c r="J123" s="1">
        <f>SUM(J119:J122)</f>
        <v>50794463.5</v>
      </c>
      <c r="K123" s="5" t="s">
        <v>4545</v>
      </c>
      <c r="L123" s="169">
        <v>1100000</v>
      </c>
      <c r="M123" s="169">
        <v>5623000</v>
      </c>
      <c r="N123" s="168">
        <f t="shared" si="31"/>
        <v>411.18181818181819</v>
      </c>
      <c r="Q123" s="117">
        <v>8381048</v>
      </c>
      <c r="R123" s="19" t="s">
        <v>4774</v>
      </c>
      <c r="S123" s="19">
        <f>S122-3</f>
        <v>10</v>
      </c>
      <c r="T123" s="19" t="s">
        <v>4800</v>
      </c>
      <c r="U123" s="219">
        <v>489</v>
      </c>
      <c r="V123" s="99">
        <f t="shared" si="26"/>
        <v>498.2280328767124</v>
      </c>
      <c r="W123" s="32">
        <f t="shared" si="23"/>
        <v>508.19259353424667</v>
      </c>
      <c r="X123" s="32">
        <f t="shared" si="24"/>
        <v>518.15715419178093</v>
      </c>
      <c r="Y123" t="s">
        <v>25</v>
      </c>
      <c r="AH123" s="89">
        <v>103</v>
      </c>
      <c r="AI123" s="90" t="s">
        <v>4643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4654</v>
      </c>
    </row>
    <row r="124" spans="6:43">
      <c r="F124" s="219"/>
      <c r="G124" s="219"/>
      <c r="H124" s="219"/>
      <c r="I124" s="219"/>
      <c r="J124" s="219" t="s">
        <v>6</v>
      </c>
      <c r="K124" s="19" t="s">
        <v>4396</v>
      </c>
      <c r="L124" s="169">
        <v>1100000</v>
      </c>
      <c r="M124" s="169">
        <v>7728000</v>
      </c>
      <c r="N124" s="168">
        <f t="shared" si="31"/>
        <v>602.5454545454545</v>
      </c>
      <c r="Q124" s="117">
        <v>164801</v>
      </c>
      <c r="R124" s="19" t="s">
        <v>4788</v>
      </c>
      <c r="S124" s="19">
        <f>S123-2</f>
        <v>8</v>
      </c>
      <c r="T124" s="19" t="s">
        <v>4793</v>
      </c>
      <c r="U124" s="219">
        <v>3095.1</v>
      </c>
      <c r="V124" s="99">
        <f t="shared" si="26"/>
        <v>3148.75970630137</v>
      </c>
      <c r="W124" s="32">
        <f t="shared" si="23"/>
        <v>3211.7349004273974</v>
      </c>
      <c r="X124" s="32">
        <f t="shared" si="24"/>
        <v>3274.7100945534248</v>
      </c>
      <c r="AH124" s="99">
        <v>104</v>
      </c>
      <c r="AI124" s="113" t="s">
        <v>4643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4655</v>
      </c>
    </row>
    <row r="125" spans="6:43">
      <c r="K125" s="5" t="s">
        <v>4547</v>
      </c>
      <c r="L125" s="169">
        <v>1100000</v>
      </c>
      <c r="M125" s="169">
        <v>2904000</v>
      </c>
      <c r="N125" s="168">
        <f t="shared" si="31"/>
        <v>164</v>
      </c>
      <c r="P125" s="114"/>
      <c r="Q125" s="117">
        <v>223613</v>
      </c>
      <c r="R125" s="19" t="s">
        <v>4788</v>
      </c>
      <c r="S125" s="19">
        <f>S124</f>
        <v>8</v>
      </c>
      <c r="T125" s="19" t="s">
        <v>4794</v>
      </c>
      <c r="U125" s="219">
        <v>4637.1000000000004</v>
      </c>
      <c r="V125" s="99">
        <f t="shared" si="26"/>
        <v>4717.4933391780833</v>
      </c>
      <c r="W125" s="32">
        <f t="shared" si="23"/>
        <v>4811.8432059616453</v>
      </c>
      <c r="X125" s="32">
        <f t="shared" si="24"/>
        <v>4906.1930727452063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4656</v>
      </c>
      <c r="AP125" t="s">
        <v>25</v>
      </c>
    </row>
    <row r="126" spans="6:43">
      <c r="K126" s="56" t="s">
        <v>1086</v>
      </c>
      <c r="L126" s="169">
        <v>1100000</v>
      </c>
      <c r="M126" s="169">
        <v>3400000</v>
      </c>
      <c r="N126" s="168">
        <f t="shared" si="31"/>
        <v>209.09090909090909</v>
      </c>
      <c r="Q126" s="117">
        <v>989631</v>
      </c>
      <c r="R126" s="19" t="s">
        <v>4788</v>
      </c>
      <c r="S126" s="19">
        <f>S125</f>
        <v>8</v>
      </c>
      <c r="T126" s="19" t="s">
        <v>4795</v>
      </c>
      <c r="U126" s="219">
        <v>3863</v>
      </c>
      <c r="V126" s="99">
        <f t="shared" si="26"/>
        <v>3929.9727780821922</v>
      </c>
      <c r="W126" s="32">
        <f t="shared" si="23"/>
        <v>4008.5722336438362</v>
      </c>
      <c r="X126" s="32">
        <f t="shared" si="24"/>
        <v>4087.1716892054801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K127" s="208" t="s">
        <v>4579</v>
      </c>
      <c r="Q127" s="117">
        <v>441608</v>
      </c>
      <c r="R127" s="19" t="s">
        <v>4788</v>
      </c>
      <c r="S127" s="19">
        <f>S126</f>
        <v>8</v>
      </c>
      <c r="T127" s="19" t="s">
        <v>4796</v>
      </c>
      <c r="U127" s="219">
        <v>169</v>
      </c>
      <c r="V127" s="99">
        <f t="shared" si="26"/>
        <v>171.92995068493153</v>
      </c>
      <c r="W127" s="32">
        <f t="shared" si="23"/>
        <v>175.36854969863015</v>
      </c>
      <c r="X127" s="32">
        <f t="shared" si="24"/>
        <v>178.8071487123288</v>
      </c>
      <c r="AH127" s="149">
        <v>107</v>
      </c>
      <c r="AI127" s="190" t="s">
        <v>4653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4664</v>
      </c>
      <c r="AQ127" t="s">
        <v>25</v>
      </c>
    </row>
    <row r="128" spans="6:43">
      <c r="K128" s="208" t="s">
        <v>4580</v>
      </c>
      <c r="Q128" s="117">
        <v>5001091</v>
      </c>
      <c r="R128" s="19" t="s">
        <v>4799</v>
      </c>
      <c r="S128" s="19">
        <f>S127-1</f>
        <v>7</v>
      </c>
      <c r="T128" s="19" t="s">
        <v>4801</v>
      </c>
      <c r="U128" s="219">
        <v>3125</v>
      </c>
      <c r="V128" s="99">
        <f t="shared" si="26"/>
        <v>3176.7808219178087</v>
      </c>
      <c r="W128" s="32">
        <f t="shared" si="23"/>
        <v>3240.3164383561648</v>
      </c>
      <c r="X128" s="32">
        <f t="shared" si="24"/>
        <v>3303.8520547945213</v>
      </c>
      <c r="AH128" s="89">
        <v>108</v>
      </c>
      <c r="AI128" s="90" t="s">
        <v>4653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4665</v>
      </c>
    </row>
    <row r="129" spans="11:44">
      <c r="K129" s="208" t="s">
        <v>4581</v>
      </c>
      <c r="Q129" s="117">
        <v>12497226</v>
      </c>
      <c r="R129" s="19" t="s">
        <v>4839</v>
      </c>
      <c r="S129" s="19">
        <f>S128-7</f>
        <v>0</v>
      </c>
      <c r="T129" s="19" t="s">
        <v>4843</v>
      </c>
      <c r="U129" s="219">
        <v>3307.5</v>
      </c>
      <c r="V129" s="99">
        <f t="shared" si="26"/>
        <v>3344.5440000000003</v>
      </c>
      <c r="W129" s="32">
        <f t="shared" si="23"/>
        <v>3411.4348800000002</v>
      </c>
      <c r="X129" s="32">
        <f t="shared" si="24"/>
        <v>3478.3257600000006</v>
      </c>
      <c r="AH129" s="89">
        <v>109</v>
      </c>
      <c r="AI129" s="90" t="s">
        <v>4680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4684</v>
      </c>
    </row>
    <row r="130" spans="11:44">
      <c r="P130" s="114"/>
      <c r="Q130" s="117">
        <v>24695044</v>
      </c>
      <c r="R130" s="19" t="s">
        <v>4839</v>
      </c>
      <c r="S130" s="19">
        <f>S129</f>
        <v>0</v>
      </c>
      <c r="T130" s="19" t="s">
        <v>4844</v>
      </c>
      <c r="U130" s="219">
        <v>5249.5</v>
      </c>
      <c r="V130" s="99">
        <f t="shared" si="26"/>
        <v>5308.2944000000007</v>
      </c>
      <c r="W130" s="32">
        <f t="shared" si="23"/>
        <v>5414.4602880000011</v>
      </c>
      <c r="X130" s="32">
        <f t="shared" si="24"/>
        <v>5520.6261760000007</v>
      </c>
      <c r="AH130" s="99">
        <v>110</v>
      </c>
      <c r="AI130" s="113" t="s">
        <v>4686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4687</v>
      </c>
      <c r="AQ130" t="s">
        <v>25</v>
      </c>
    </row>
    <row r="131" spans="11:44">
      <c r="Q131" s="117">
        <v>529210</v>
      </c>
      <c r="R131" s="19" t="s">
        <v>4839</v>
      </c>
      <c r="S131" s="19">
        <f>S130</f>
        <v>0</v>
      </c>
      <c r="T131" s="19" t="s">
        <v>4845</v>
      </c>
      <c r="U131" s="219">
        <v>4051</v>
      </c>
      <c r="V131" s="99">
        <f t="shared" si="26"/>
        <v>4096.3712000000005</v>
      </c>
      <c r="W131" s="32">
        <f t="shared" si="23"/>
        <v>4178.2986240000009</v>
      </c>
      <c r="X131" s="32">
        <f t="shared" si="24"/>
        <v>4260.2260480000004</v>
      </c>
      <c r="AH131" s="20">
        <v>111</v>
      </c>
      <c r="AI131" s="117" t="s">
        <v>4696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Q132" s="117">
        <v>13041741</v>
      </c>
      <c r="R132" s="19" t="s">
        <v>4851</v>
      </c>
      <c r="S132" s="19">
        <f>S131-1</f>
        <v>-1</v>
      </c>
      <c r="T132" s="19" t="s">
        <v>4853</v>
      </c>
      <c r="U132" s="219">
        <v>5235</v>
      </c>
      <c r="V132" s="99">
        <f t="shared" si="26"/>
        <v>5289.616109589042</v>
      </c>
      <c r="W132" s="32">
        <f t="shared" si="23"/>
        <v>5395.4084317808229</v>
      </c>
      <c r="X132" s="32">
        <f t="shared" si="24"/>
        <v>5501.2007539726037</v>
      </c>
      <c r="AH132" s="89">
        <v>112</v>
      </c>
      <c r="AI132" s="90" t="s">
        <v>4696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4701</v>
      </c>
    </row>
    <row r="133" spans="11:44">
      <c r="Q133" s="117"/>
      <c r="R133" s="19"/>
      <c r="S133" s="19"/>
      <c r="T133" s="19"/>
      <c r="U133" s="219"/>
      <c r="V133" s="99"/>
      <c r="W133" s="32"/>
      <c r="X133" s="32"/>
      <c r="AH133" s="20">
        <v>113</v>
      </c>
      <c r="AI133" s="117" t="s">
        <v>4700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9"/>
      <c r="V134" s="99"/>
      <c r="W134" s="32"/>
      <c r="X134" s="32"/>
      <c r="AH134" s="89">
        <v>114</v>
      </c>
      <c r="AI134" s="90" t="s">
        <v>4700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4701</v>
      </c>
    </row>
    <row r="135" spans="11:44">
      <c r="Q135" s="169"/>
      <c r="R135" s="168"/>
      <c r="S135" s="168"/>
      <c r="T135" s="168"/>
      <c r="U135" s="168"/>
      <c r="V135" s="99"/>
      <c r="W135" s="32"/>
      <c r="X135" s="32"/>
      <c r="AH135" s="20">
        <v>115</v>
      </c>
      <c r="AI135" s="117" t="s">
        <v>4700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4715</v>
      </c>
      <c r="AQ135" t="s">
        <v>25</v>
      </c>
    </row>
    <row r="136" spans="11:44">
      <c r="Q136" s="169"/>
      <c r="R136" s="168"/>
      <c r="S136" s="168"/>
      <c r="T136" s="168"/>
      <c r="U136" s="168"/>
      <c r="V136" s="99">
        <f>U136*(1+$N$86+$Q$15*S136/36500)</f>
        <v>0</v>
      </c>
      <c r="W136" s="32">
        <f t="shared" si="23"/>
        <v>0</v>
      </c>
      <c r="X136" s="32">
        <f t="shared" si="24"/>
        <v>0</v>
      </c>
      <c r="AH136" s="89">
        <v>116</v>
      </c>
      <c r="AI136" s="90" t="s">
        <v>4742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4744</v>
      </c>
    </row>
    <row r="137" spans="11:44">
      <c r="Q137" s="113">
        <f>SUM(N44:N55)-SUM(Q70:Q136)</f>
        <v>1143710.7000000477</v>
      </c>
      <c r="R137" s="112"/>
      <c r="S137" s="112"/>
      <c r="T137" s="112"/>
      <c r="U137" s="168"/>
      <c r="V137" s="99" t="s">
        <v>25</v>
      </c>
      <c r="W137" s="32"/>
      <c r="X137" s="32"/>
      <c r="Y137" t="s">
        <v>25</v>
      </c>
      <c r="Z137" t="s">
        <v>25</v>
      </c>
      <c r="AH137" s="20">
        <v>117</v>
      </c>
      <c r="AI137" s="117" t="s">
        <v>4749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26"/>
      <c r="R138" s="182"/>
      <c r="S138" s="182"/>
      <c r="T138" t="s">
        <v>25</v>
      </c>
      <c r="U138" s="96" t="s">
        <v>25</v>
      </c>
      <c r="V138" s="96" t="s">
        <v>25</v>
      </c>
      <c r="W138" s="96" t="s">
        <v>25</v>
      </c>
      <c r="Y138" t="s">
        <v>25</v>
      </c>
      <c r="AH138" s="121">
        <v>118</v>
      </c>
      <c r="AI138" s="79" t="s">
        <v>4758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4684</v>
      </c>
    </row>
    <row r="139" spans="11:44">
      <c r="R139" s="32" t="s">
        <v>4583</v>
      </c>
      <c r="S139" s="32" t="s">
        <v>950</v>
      </c>
      <c r="T139" t="s">
        <v>25</v>
      </c>
      <c r="U139" s="96" t="s">
        <v>25</v>
      </c>
      <c r="V139" s="96" t="s">
        <v>25</v>
      </c>
      <c r="W139" s="96" t="s">
        <v>25</v>
      </c>
      <c r="X139" s="122" t="s">
        <v>25</v>
      </c>
      <c r="AH139" s="121">
        <v>119</v>
      </c>
      <c r="AI139" s="79" t="s">
        <v>4760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4764</v>
      </c>
    </row>
    <row r="140" spans="11:44">
      <c r="R140" s="32">
        <v>27060</v>
      </c>
      <c r="S140" s="169">
        <v>13293737</v>
      </c>
      <c r="U140" s="96" t="s">
        <v>25</v>
      </c>
      <c r="V140" s="122" t="s">
        <v>25</v>
      </c>
      <c r="X140" t="s">
        <v>25</v>
      </c>
      <c r="AH140" s="121">
        <v>120</v>
      </c>
      <c r="AI140" s="79" t="s">
        <v>4763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4701</v>
      </c>
    </row>
    <row r="141" spans="11:44">
      <c r="Q141" t="s">
        <v>25</v>
      </c>
      <c r="R141" s="32">
        <v>10000</v>
      </c>
      <c r="S141" s="1">
        <f>S140*R141/R140</f>
        <v>4912689.2091648187</v>
      </c>
      <c r="U141" s="96" t="s">
        <v>25</v>
      </c>
      <c r="V141" s="122" t="s">
        <v>25</v>
      </c>
      <c r="W141" s="96" t="s">
        <v>25</v>
      </c>
      <c r="X141" t="s">
        <v>25</v>
      </c>
      <c r="AH141" s="161">
        <v>121</v>
      </c>
      <c r="AI141" s="237" t="s">
        <v>4839</v>
      </c>
      <c r="AJ141" s="237">
        <v>50000000</v>
      </c>
      <c r="AK141" s="161">
        <v>1</v>
      </c>
      <c r="AL141" s="161">
        <f t="shared" si="34"/>
        <v>1</v>
      </c>
      <c r="AM141" s="237">
        <f t="shared" si="33"/>
        <v>50000000</v>
      </c>
      <c r="AN141" s="161" t="s">
        <v>4842</v>
      </c>
      <c r="AP141" t="s">
        <v>25</v>
      </c>
      <c r="AR141" t="s">
        <v>25</v>
      </c>
    </row>
    <row r="142" spans="11:44">
      <c r="R142" s="32">
        <f>R140-R141</f>
        <v>17060</v>
      </c>
      <c r="S142" s="1">
        <f>R142*S140/R140</f>
        <v>8381047.7908351813</v>
      </c>
      <c r="V142" s="96"/>
      <c r="W142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99" t="s">
        <v>4465</v>
      </c>
      <c r="R144" s="99" t="s">
        <v>4467</v>
      </c>
      <c r="S144" s="99"/>
      <c r="T144" s="99" t="s">
        <v>4468</v>
      </c>
      <c r="U144" s="99"/>
      <c r="V144" s="99"/>
      <c r="W144" s="99" t="s">
        <v>4586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13">
        <v>1000</v>
      </c>
      <c r="R145" s="99">
        <v>0.25</v>
      </c>
      <c r="S145" s="99"/>
      <c r="T145" s="99">
        <f>1-R145</f>
        <v>0.75</v>
      </c>
      <c r="U145" s="99"/>
      <c r="V145" s="99"/>
      <c r="W145" s="99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 t="s">
        <v>4452</v>
      </c>
      <c r="R146" s="168" t="s">
        <v>4470</v>
      </c>
      <c r="S146" s="168" t="s">
        <v>4472</v>
      </c>
      <c r="T146" s="168" t="s">
        <v>180</v>
      </c>
      <c r="U146" s="168" t="s">
        <v>4466</v>
      </c>
      <c r="V146" s="56" t="s">
        <v>4469</v>
      </c>
      <c r="W146" s="99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>
        <f>2561+R148</f>
        <v>1478346</v>
      </c>
      <c r="Q147" s="168" t="s">
        <v>751</v>
      </c>
      <c r="R147" s="56">
        <v>1673381</v>
      </c>
      <c r="S147" s="113">
        <f>R147*$T$209</f>
        <v>430016152.43508273</v>
      </c>
      <c r="T147" s="168" t="s">
        <v>4464</v>
      </c>
      <c r="U147" s="168">
        <f>$Q$145*$T$145*S147/$R$171</f>
        <v>391.34309802693861</v>
      </c>
      <c r="V147" s="95">
        <f>S147+U147</f>
        <v>430016543.77818078</v>
      </c>
      <c r="W147" s="99">
        <f>R147*100/U206</f>
        <v>52.179079736925146</v>
      </c>
      <c r="X147" s="223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168" t="s">
        <v>4454</v>
      </c>
      <c r="R148" s="56">
        <v>1475785</v>
      </c>
      <c r="S148" s="113">
        <f>R148*$T$209</f>
        <v>379239030.15595883</v>
      </c>
      <c r="T148" s="168" t="s">
        <v>4464</v>
      </c>
      <c r="U148" s="168">
        <f>$Q$145*$T$145*S148/$R$171+Q145*R145</f>
        <v>595.13256330846684</v>
      </c>
      <c r="V148" s="95">
        <f>S148+U148</f>
        <v>379239625.28852212</v>
      </c>
      <c r="W148" s="99">
        <f>R148*100/U206</f>
        <v>46.017675107795583</v>
      </c>
      <c r="X148" s="115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Q149" s="168" t="s">
        <v>4453</v>
      </c>
      <c r="R149" s="56">
        <v>57830</v>
      </c>
      <c r="S149" s="113">
        <f>R149*$T$209</f>
        <v>14860832.108958352</v>
      </c>
      <c r="T149" s="168" t="s">
        <v>4464</v>
      </c>
      <c r="U149" s="168">
        <f>$Q$145*$T$145*S149/$R$171</f>
        <v>13.524338664594529</v>
      </c>
      <c r="V149" s="95">
        <f>S149+U149</f>
        <v>14860845.633297017</v>
      </c>
      <c r="W149" s="99">
        <f>R149*100/U206</f>
        <v>1.8032451552792708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/>
      <c r="R150" s="56"/>
      <c r="S150" s="168"/>
      <c r="T150" s="168"/>
      <c r="U150" s="168"/>
      <c r="V150" s="99"/>
      <c r="W150" s="99"/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168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/>
      <c r="R152" s="168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/>
      <c r="R153" s="99"/>
      <c r="S153" s="99"/>
      <c r="T153" s="99" t="s">
        <v>25</v>
      </c>
      <c r="U153" s="99"/>
      <c r="V153" s="99"/>
      <c r="W153" s="99"/>
      <c r="X153" s="96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Q154" s="99"/>
      <c r="R154" s="99"/>
      <c r="S154" s="99"/>
      <c r="T154" s="99"/>
      <c r="U154" s="99"/>
      <c r="V154" s="99"/>
      <c r="W154" s="99"/>
      <c r="X154" s="96"/>
      <c r="AI154" t="s">
        <v>4064</v>
      </c>
      <c r="AJ154" s="114">
        <f>SUM(N42:N55)</f>
        <v>571426977.70000005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32100891.700000048</v>
      </c>
      <c r="AM155" t="s">
        <v>25</v>
      </c>
    </row>
    <row r="156" spans="16:44">
      <c r="P156" s="114"/>
      <c r="Q156" s="96"/>
      <c r="R156" s="96"/>
      <c r="S156" s="96"/>
      <c r="T156" s="96"/>
      <c r="V156" s="96"/>
      <c r="X156" s="115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6"/>
      <c r="V157" s="96"/>
      <c r="AI157" t="s">
        <v>4065</v>
      </c>
      <c r="AJ157" s="114">
        <f>AJ154-AJ153</f>
        <v>-265108.29677414894</v>
      </c>
      <c r="AN157" t="s">
        <v>25</v>
      </c>
    </row>
    <row r="158" spans="16:44">
      <c r="Q158" s="96"/>
      <c r="R158" s="96"/>
      <c r="S158" s="96"/>
      <c r="T158" s="96" t="s">
        <v>25</v>
      </c>
      <c r="V158" s="96"/>
      <c r="AM158" t="s">
        <v>25</v>
      </c>
    </row>
    <row r="159" spans="16:44">
      <c r="Q159" s="96"/>
      <c r="R159" s="96"/>
      <c r="S159" s="96"/>
      <c r="T159" s="96"/>
      <c r="V159" s="96"/>
      <c r="AJ159" t="s">
        <v>25</v>
      </c>
    </row>
    <row r="160" spans="16:44">
      <c r="Q160" s="96"/>
      <c r="R160" s="96"/>
      <c r="S160" s="96"/>
      <c r="T160" s="99" t="s">
        <v>180</v>
      </c>
      <c r="U160" s="99" t="s">
        <v>4488</v>
      </c>
      <c r="V160" s="99" t="s">
        <v>4489</v>
      </c>
      <c r="W160" s="99" t="s">
        <v>4499</v>
      </c>
      <c r="X160" s="99" t="s">
        <v>8</v>
      </c>
    </row>
    <row r="161" spans="16:40">
      <c r="Q161" s="36" t="s">
        <v>4582</v>
      </c>
      <c r="R161" s="95">
        <f>SUM(N44:N55)</f>
        <v>571407012.70000005</v>
      </c>
      <c r="T161" s="113" t="s">
        <v>4464</v>
      </c>
      <c r="U161" s="56">
        <v>1000000</v>
      </c>
      <c r="V161" s="113">
        <v>239.024</v>
      </c>
      <c r="W161" s="113">
        <f t="shared" ref="W161:W204" si="35">U161*V161</f>
        <v>239024000</v>
      </c>
      <c r="X161" s="99"/>
    </row>
    <row r="162" spans="16:40">
      <c r="P162" s="114"/>
      <c r="Q162" s="99" t="s">
        <v>4455</v>
      </c>
      <c r="R162" s="95">
        <f>SUM(N21:N25)</f>
        <v>247324240.30000001</v>
      </c>
      <c r="T162" s="168" t="s">
        <v>4446</v>
      </c>
      <c r="U162" s="56">
        <v>5904</v>
      </c>
      <c r="V162" s="113">
        <v>237.148</v>
      </c>
      <c r="W162" s="113">
        <f t="shared" si="35"/>
        <v>1400121.7919999999</v>
      </c>
      <c r="X162" s="99" t="s">
        <v>751</v>
      </c>
    </row>
    <row r="163" spans="16:40">
      <c r="Q163" s="99" t="s">
        <v>4456</v>
      </c>
      <c r="R163" s="95">
        <f>SUM(N28:N31)</f>
        <v>4191372.7</v>
      </c>
      <c r="T163" s="168" t="s">
        <v>4232</v>
      </c>
      <c r="U163" s="168">
        <v>1000</v>
      </c>
      <c r="V163" s="113">
        <v>247.393</v>
      </c>
      <c r="W163" s="113">
        <f t="shared" si="35"/>
        <v>247393</v>
      </c>
      <c r="X163" s="99" t="s">
        <v>751</v>
      </c>
    </row>
    <row r="164" spans="16:40">
      <c r="Q164" s="99" t="s">
        <v>4457</v>
      </c>
      <c r="R164" s="95">
        <f>N42</f>
        <v>19965</v>
      </c>
      <c r="T164" s="168" t="s">
        <v>4501</v>
      </c>
      <c r="U164" s="168">
        <v>8071</v>
      </c>
      <c r="V164" s="113">
        <v>247.797</v>
      </c>
      <c r="W164" s="113">
        <f t="shared" si="35"/>
        <v>1999969.5870000001</v>
      </c>
      <c r="X164" s="99" t="s">
        <v>4453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4458</v>
      </c>
      <c r="R165" s="95">
        <f>N20</f>
        <v>357</v>
      </c>
      <c r="T165" s="168" t="s">
        <v>4501</v>
      </c>
      <c r="U165" s="168">
        <v>53672</v>
      </c>
      <c r="V165" s="113">
        <v>247.797</v>
      </c>
      <c r="W165" s="113">
        <f t="shared" si="35"/>
        <v>13299760.584000001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4459</v>
      </c>
      <c r="R166" s="95">
        <f>N27</f>
        <v>2881</v>
      </c>
      <c r="T166" s="168" t="s">
        <v>4511</v>
      </c>
      <c r="U166" s="168">
        <v>4099</v>
      </c>
      <c r="V166" s="113">
        <v>243.93</v>
      </c>
      <c r="W166" s="113">
        <f t="shared" si="35"/>
        <v>999869.07000000007</v>
      </c>
      <c r="X166" s="99" t="s">
        <v>4453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P167" s="114"/>
      <c r="Q167" s="99" t="s">
        <v>4471</v>
      </c>
      <c r="R167" s="95">
        <v>686222</v>
      </c>
      <c r="T167" s="168" t="s">
        <v>4511</v>
      </c>
      <c r="U167" s="168">
        <v>9301</v>
      </c>
      <c r="V167" s="113">
        <v>243.93</v>
      </c>
      <c r="W167" s="113">
        <f t="shared" si="35"/>
        <v>2268792.9300000002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9" t="s">
        <v>4706</v>
      </c>
      <c r="R168" s="95">
        <v>0</v>
      </c>
      <c r="T168" s="168" t="s">
        <v>4518</v>
      </c>
      <c r="U168" s="168">
        <v>8334</v>
      </c>
      <c r="V168" s="113">
        <v>239.97</v>
      </c>
      <c r="W168" s="113">
        <f t="shared" si="35"/>
        <v>1999909.98</v>
      </c>
      <c r="X168" s="99" t="s">
        <v>4453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4759</v>
      </c>
      <c r="R169" s="95">
        <v>500000</v>
      </c>
      <c r="T169" s="168" t="s">
        <v>4231</v>
      </c>
      <c r="U169" s="168">
        <v>29041</v>
      </c>
      <c r="V169" s="113">
        <v>233.45</v>
      </c>
      <c r="W169" s="113">
        <f t="shared" si="35"/>
        <v>6779621.4499999993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9" t="s">
        <v>4738</v>
      </c>
      <c r="R170" s="95">
        <v>-16036</v>
      </c>
      <c r="S170" s="115"/>
      <c r="T170" s="168" t="s">
        <v>994</v>
      </c>
      <c r="U170" s="168">
        <v>12337</v>
      </c>
      <c r="V170" s="113">
        <v>243.16300000000001</v>
      </c>
      <c r="W170" s="113">
        <f t="shared" si="35"/>
        <v>2999901.9310000003</v>
      </c>
      <c r="X170" s="99" t="s">
        <v>4453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9" t="s">
        <v>4463</v>
      </c>
      <c r="R171" s="95">
        <f>SUM(R161:R170)</f>
        <v>824116014.70000005</v>
      </c>
      <c r="S171" s="122"/>
      <c r="T171" s="168" t="s">
        <v>4606</v>
      </c>
      <c r="U171" s="168">
        <v>-16118</v>
      </c>
      <c r="V171" s="113">
        <v>248.17</v>
      </c>
      <c r="W171" s="113">
        <f t="shared" si="35"/>
        <v>-4000004.0599999996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S172" s="115"/>
      <c r="T172" s="168" t="s">
        <v>4637</v>
      </c>
      <c r="U172" s="168">
        <v>101681</v>
      </c>
      <c r="V172" s="113">
        <v>246.5711</v>
      </c>
      <c r="W172" s="113">
        <f t="shared" si="35"/>
        <v>25071596.019099999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6"/>
      <c r="R173" s="183"/>
      <c r="S173" s="115"/>
      <c r="T173" s="168" t="s">
        <v>4643</v>
      </c>
      <c r="U173" s="168">
        <v>66606</v>
      </c>
      <c r="V173" s="113">
        <v>251.131</v>
      </c>
      <c r="W173" s="113">
        <f t="shared" si="35"/>
        <v>16726831.386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6"/>
      <c r="R174" s="183"/>
      <c r="T174" s="168" t="s">
        <v>4650</v>
      </c>
      <c r="U174" s="168">
        <v>172025</v>
      </c>
      <c r="V174" s="113">
        <v>245.52809999999999</v>
      </c>
      <c r="W174" s="113">
        <f t="shared" si="35"/>
        <v>42236971.402499996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R175" s="115"/>
      <c r="T175" s="168" t="s">
        <v>4650</v>
      </c>
      <c r="U175" s="168">
        <v>189227</v>
      </c>
      <c r="V175" s="113">
        <v>245.52809999999999</v>
      </c>
      <c r="W175" s="113">
        <f t="shared" si="35"/>
        <v>46460545.778700002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T176" s="168" t="s">
        <v>4653</v>
      </c>
      <c r="U176" s="168">
        <v>79720</v>
      </c>
      <c r="V176" s="113">
        <v>246.6568</v>
      </c>
      <c r="W176" s="113">
        <f t="shared" si="35"/>
        <v>19663480.096000001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4453</v>
      </c>
      <c r="R177" s="99"/>
      <c r="T177" s="168" t="s">
        <v>4653</v>
      </c>
      <c r="U177" s="168">
        <v>79720</v>
      </c>
      <c r="V177" s="113">
        <v>246.6568</v>
      </c>
      <c r="W177" s="113">
        <f t="shared" si="35"/>
        <v>19663480.096000001</v>
      </c>
      <c r="X177" s="99" t="s">
        <v>751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36" t="s">
        <v>180</v>
      </c>
      <c r="R178" s="99" t="s">
        <v>267</v>
      </c>
      <c r="T178" s="168" t="s">
        <v>4680</v>
      </c>
      <c r="U178" s="168">
        <v>17769</v>
      </c>
      <c r="V178" s="113">
        <v>246.17877999999999</v>
      </c>
      <c r="W178" s="113">
        <f t="shared" si="35"/>
        <v>4374350.7418200001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4446</v>
      </c>
      <c r="R179" s="95">
        <v>3000000</v>
      </c>
      <c r="T179" s="168" t="s">
        <v>4680</v>
      </c>
      <c r="U179" s="168">
        <v>17769</v>
      </c>
      <c r="V179" s="113">
        <v>246.17877999999999</v>
      </c>
      <c r="W179" s="113">
        <f t="shared" si="35"/>
        <v>4374350.7418200001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4501</v>
      </c>
      <c r="R180" s="95">
        <v>2000000</v>
      </c>
      <c r="T180" s="168" t="s">
        <v>4686</v>
      </c>
      <c r="U180" s="168">
        <v>12438</v>
      </c>
      <c r="V180" s="113">
        <v>241.20465999999999</v>
      </c>
      <c r="W180" s="113">
        <f t="shared" si="35"/>
        <v>3000103.5610799999</v>
      </c>
      <c r="X180" s="99" t="s">
        <v>4453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4511</v>
      </c>
      <c r="R181" s="95">
        <v>1000000</v>
      </c>
      <c r="T181" s="168" t="s">
        <v>4696</v>
      </c>
      <c r="U181" s="168">
        <v>27363</v>
      </c>
      <c r="V181" s="113">
        <v>239.3886</v>
      </c>
      <c r="W181" s="113">
        <f t="shared" si="35"/>
        <v>6550390.2617999995</v>
      </c>
      <c r="X181" s="99" t="s">
        <v>751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4518</v>
      </c>
      <c r="R182" s="95">
        <v>2000000</v>
      </c>
      <c r="T182" s="168" t="s">
        <v>4696</v>
      </c>
      <c r="U182" s="168">
        <v>27363</v>
      </c>
      <c r="V182" s="113">
        <v>239.3886</v>
      </c>
      <c r="W182" s="113">
        <f t="shared" si="35"/>
        <v>6550390.2617999995</v>
      </c>
      <c r="X182" s="99" t="s">
        <v>452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994</v>
      </c>
      <c r="R183" s="95">
        <v>3000000</v>
      </c>
      <c r="T183" s="215" t="s">
        <v>4700</v>
      </c>
      <c r="U183" s="215">
        <v>27437</v>
      </c>
      <c r="V183" s="113">
        <v>242.4015</v>
      </c>
      <c r="W183" s="113">
        <f t="shared" si="35"/>
        <v>6650769.9555000002</v>
      </c>
      <c r="X183" s="99" t="s">
        <v>751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4686</v>
      </c>
      <c r="R184" s="95">
        <v>3000000</v>
      </c>
      <c r="T184" s="215" t="s">
        <v>4700</v>
      </c>
      <c r="U184" s="215">
        <v>29104</v>
      </c>
      <c r="V184" s="113">
        <v>242.4015</v>
      </c>
      <c r="W184" s="113">
        <f t="shared" si="35"/>
        <v>7054853.2560000001</v>
      </c>
      <c r="X184" s="99" t="s">
        <v>452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5"/>
      <c r="T185" s="219" t="s">
        <v>4742</v>
      </c>
      <c r="U185" s="219">
        <v>8991</v>
      </c>
      <c r="V185" s="113">
        <v>238.64867000000001</v>
      </c>
      <c r="W185" s="113">
        <f t="shared" si="35"/>
        <v>2145690.19197</v>
      </c>
      <c r="X185" s="99" t="s">
        <v>751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/>
      <c r="R186" s="95"/>
      <c r="T186" s="219" t="s">
        <v>4742</v>
      </c>
      <c r="U186" s="219">
        <v>8991</v>
      </c>
      <c r="V186" s="113">
        <v>238.64867000000001</v>
      </c>
      <c r="W186" s="113">
        <f t="shared" si="35"/>
        <v>2145690.19197</v>
      </c>
      <c r="X186" s="99" t="s">
        <v>452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/>
      <c r="R187" s="95">
        <f>SUM(R179:R185)</f>
        <v>14000000</v>
      </c>
      <c r="T187" s="219" t="s">
        <v>4758</v>
      </c>
      <c r="U187" s="219">
        <v>18170</v>
      </c>
      <c r="V187" s="113">
        <v>240.48475999999999</v>
      </c>
      <c r="W187" s="113">
        <f t="shared" si="35"/>
        <v>4369608.0892000003</v>
      </c>
      <c r="X187" s="99" t="s">
        <v>751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9" t="s">
        <v>6</v>
      </c>
      <c r="S188" t="s">
        <v>25</v>
      </c>
      <c r="T188" s="219" t="s">
        <v>4758</v>
      </c>
      <c r="U188" s="219">
        <v>18170</v>
      </c>
      <c r="V188" s="113">
        <v>240.48475999999999</v>
      </c>
      <c r="W188" s="113">
        <f t="shared" si="35"/>
        <v>4369608.0892000003</v>
      </c>
      <c r="X188" s="99" t="s">
        <v>452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9" t="s">
        <v>4763</v>
      </c>
      <c r="U189" s="219">
        <v>36797</v>
      </c>
      <c r="V189" s="113">
        <v>239.0822</v>
      </c>
      <c r="W189" s="113">
        <f t="shared" si="35"/>
        <v>8797507.7134000007</v>
      </c>
      <c r="X189" s="99" t="s">
        <v>751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6"/>
      <c r="R190" s="96"/>
      <c r="T190" s="219" t="s">
        <v>4763</v>
      </c>
      <c r="U190" s="219">
        <v>36797</v>
      </c>
      <c r="V190" s="113">
        <v>239.0822</v>
      </c>
      <c r="W190" s="113">
        <f t="shared" si="35"/>
        <v>8797507.7134000007</v>
      </c>
      <c r="X190" s="99" t="s">
        <v>452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6"/>
      <c r="R191" s="96"/>
      <c r="T191" s="219" t="s">
        <v>4774</v>
      </c>
      <c r="U191" s="219">
        <v>28066</v>
      </c>
      <c r="V191" s="113">
        <v>237.56970000000001</v>
      </c>
      <c r="W191" s="113">
        <f t="shared" si="35"/>
        <v>6667631.2002000008</v>
      </c>
      <c r="X191" s="99" t="s">
        <v>751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9" t="s">
        <v>4774</v>
      </c>
      <c r="U192" s="219">
        <v>28066</v>
      </c>
      <c r="V192" s="113">
        <v>237.56970000000001</v>
      </c>
      <c r="W192" s="113">
        <f t="shared" si="35"/>
        <v>6667631.2002000008</v>
      </c>
      <c r="X192" s="99" t="s">
        <v>452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751</v>
      </c>
      <c r="R193" s="99"/>
      <c r="T193" s="219" t="s">
        <v>3684</v>
      </c>
      <c r="U193" s="219">
        <v>37457</v>
      </c>
      <c r="V193" s="113">
        <v>239.77</v>
      </c>
      <c r="W193" s="113">
        <f t="shared" si="35"/>
        <v>8981064.8900000006</v>
      </c>
      <c r="X193" s="99" t="s">
        <v>751</v>
      </c>
      <c r="AH193" s="149">
        <v>29</v>
      </c>
      <c r="AI193" s="149" t="s">
        <v>4653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4446</v>
      </c>
      <c r="R194" s="95">
        <v>172908000</v>
      </c>
      <c r="T194" s="219" t="s">
        <v>3684</v>
      </c>
      <c r="U194" s="219">
        <v>37457</v>
      </c>
      <c r="V194" s="113">
        <v>239.77</v>
      </c>
      <c r="W194" s="113">
        <f t="shared" si="35"/>
        <v>8981064.8900000006</v>
      </c>
      <c r="X194" s="99" t="s">
        <v>452</v>
      </c>
      <c r="AH194" s="20">
        <v>30</v>
      </c>
      <c r="AI194" s="20" t="s">
        <v>4653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4487</v>
      </c>
      <c r="R195" s="95">
        <v>1400000</v>
      </c>
      <c r="T195" s="219" t="s">
        <v>4788</v>
      </c>
      <c r="U195" s="219">
        <v>38412</v>
      </c>
      <c r="V195" s="113">
        <v>239.03</v>
      </c>
      <c r="W195" s="113">
        <f t="shared" si="35"/>
        <v>9181620.3599999994</v>
      </c>
      <c r="X195" s="99" t="s">
        <v>751</v>
      </c>
      <c r="AH195" s="149">
        <v>31</v>
      </c>
      <c r="AI195" s="149" t="s">
        <v>4763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4232</v>
      </c>
      <c r="R196" s="95">
        <v>247393</v>
      </c>
      <c r="T196" s="219" t="s">
        <v>4788</v>
      </c>
      <c r="U196" s="219">
        <v>38412</v>
      </c>
      <c r="V196" s="113">
        <v>239.03</v>
      </c>
      <c r="W196" s="113">
        <f t="shared" si="35"/>
        <v>9181620.3599999994</v>
      </c>
      <c r="X196" s="99" t="s">
        <v>452</v>
      </c>
      <c r="AH196" s="121">
        <v>32</v>
      </c>
      <c r="AI196" s="121" t="s">
        <v>4763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4776</v>
      </c>
    </row>
    <row r="197" spans="17:44">
      <c r="Q197" s="99" t="s">
        <v>4231</v>
      </c>
      <c r="R197" s="95">
        <v>6780000</v>
      </c>
      <c r="T197" s="219" t="s">
        <v>4799</v>
      </c>
      <c r="U197" s="219">
        <v>49555</v>
      </c>
      <c r="V197" s="113">
        <v>238.345</v>
      </c>
      <c r="W197" s="113">
        <f t="shared" si="35"/>
        <v>11811186.475</v>
      </c>
      <c r="X197" s="99" t="s">
        <v>751</v>
      </c>
      <c r="AH197" s="121">
        <v>33</v>
      </c>
      <c r="AI197" s="121" t="s">
        <v>4774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4781</v>
      </c>
      <c r="AQ197" t="s">
        <v>25</v>
      </c>
    </row>
    <row r="198" spans="17:44">
      <c r="Q198" s="99" t="s">
        <v>4606</v>
      </c>
      <c r="R198" s="95">
        <v>-4000000</v>
      </c>
      <c r="T198" s="219" t="s">
        <v>4799</v>
      </c>
      <c r="U198" s="219">
        <v>49555</v>
      </c>
      <c r="V198" s="113">
        <v>238.345</v>
      </c>
      <c r="W198" s="113">
        <f t="shared" si="35"/>
        <v>11811186.475</v>
      </c>
      <c r="X198" s="99" t="s">
        <v>452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4781</v>
      </c>
    </row>
    <row r="199" spans="17:44">
      <c r="Q199" s="99" t="s">
        <v>4643</v>
      </c>
      <c r="R199" s="95">
        <v>16727037</v>
      </c>
      <c r="T199" s="219" t="s">
        <v>4819</v>
      </c>
      <c r="U199" s="219">
        <v>160187</v>
      </c>
      <c r="V199" s="113">
        <v>257.49799999999999</v>
      </c>
      <c r="W199" s="113">
        <f t="shared" si="35"/>
        <v>41247832.126000002</v>
      </c>
      <c r="X199" s="99" t="s">
        <v>751</v>
      </c>
      <c r="AH199" s="121">
        <v>35</v>
      </c>
      <c r="AI199" s="121" t="s">
        <v>4788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4798</v>
      </c>
    </row>
    <row r="200" spans="17:44">
      <c r="Q200" s="99" t="s">
        <v>4650</v>
      </c>
      <c r="R200" s="95">
        <v>46460683</v>
      </c>
      <c r="T200" s="219" t="s">
        <v>4819</v>
      </c>
      <c r="U200" s="219">
        <v>160187</v>
      </c>
      <c r="V200" s="113">
        <v>257.49799999999999</v>
      </c>
      <c r="W200" s="113">
        <f t="shared" si="35"/>
        <v>41247832.126000002</v>
      </c>
      <c r="X200" s="99" t="s">
        <v>452</v>
      </c>
      <c r="AH200" s="121">
        <v>36</v>
      </c>
      <c r="AI200" s="121" t="s">
        <v>4817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4820</v>
      </c>
      <c r="AR200" t="s">
        <v>25</v>
      </c>
    </row>
    <row r="201" spans="17:44">
      <c r="Q201" s="99" t="s">
        <v>4653</v>
      </c>
      <c r="R201" s="95">
        <v>19663646</v>
      </c>
      <c r="S201" t="s">
        <v>25</v>
      </c>
      <c r="T201" s="219" t="s">
        <v>4829</v>
      </c>
      <c r="U201" s="219">
        <v>144401</v>
      </c>
      <c r="V201" s="113">
        <v>258.5061</v>
      </c>
      <c r="W201" s="113">
        <f t="shared" si="35"/>
        <v>37328539.346100003</v>
      </c>
      <c r="X201" s="99" t="s">
        <v>751</v>
      </c>
      <c r="AH201" s="121">
        <v>37</v>
      </c>
      <c r="AI201" s="121" t="s">
        <v>4819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4828</v>
      </c>
    </row>
    <row r="202" spans="17:44">
      <c r="Q202" s="99" t="s">
        <v>4680</v>
      </c>
      <c r="R202" s="95">
        <v>4374525</v>
      </c>
      <c r="T202" s="219" t="s">
        <v>4829</v>
      </c>
      <c r="U202" s="219">
        <v>144401</v>
      </c>
      <c r="V202" s="113">
        <v>258.5061</v>
      </c>
      <c r="W202" s="113">
        <f t="shared" si="35"/>
        <v>37328539.346100003</v>
      </c>
      <c r="X202" s="99" t="s">
        <v>452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4696</v>
      </c>
      <c r="R203" s="95">
        <v>6550580</v>
      </c>
      <c r="T203" s="168" t="s">
        <v>4839</v>
      </c>
      <c r="U203" s="168">
        <v>196500</v>
      </c>
      <c r="V203" s="113">
        <v>254.452</v>
      </c>
      <c r="W203" s="113">
        <f t="shared" si="35"/>
        <v>49999818</v>
      </c>
      <c r="X203" s="99" t="s">
        <v>4847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4700</v>
      </c>
      <c r="R204" s="95">
        <v>6650895</v>
      </c>
      <c r="T204" s="219" t="s">
        <v>4839</v>
      </c>
      <c r="U204" s="219">
        <v>2561</v>
      </c>
      <c r="V204" s="113">
        <v>254.536</v>
      </c>
      <c r="W204" s="113">
        <f t="shared" si="35"/>
        <v>651866.696</v>
      </c>
      <c r="X204" s="99" t="s">
        <v>4848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4742</v>
      </c>
      <c r="R205" s="95">
        <v>2145814</v>
      </c>
      <c r="S205" t="s">
        <v>25</v>
      </c>
      <c r="T205" s="168"/>
      <c r="U205" s="168"/>
      <c r="V205" s="113"/>
      <c r="W205" s="113"/>
      <c r="X205" s="99"/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4758</v>
      </c>
      <c r="R206" s="95">
        <v>4369730</v>
      </c>
      <c r="T206" s="168"/>
      <c r="U206" s="168">
        <f>SUM(U161:U205)</f>
        <v>3206996</v>
      </c>
      <c r="V206" s="99"/>
      <c r="W206" s="99"/>
      <c r="X206" s="99"/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4763</v>
      </c>
      <c r="R207" s="95">
        <v>8739459</v>
      </c>
      <c r="T207" s="99"/>
      <c r="U207" s="99" t="s">
        <v>6</v>
      </c>
      <c r="V207" s="99"/>
      <c r="W207" s="99"/>
      <c r="X207" s="99"/>
      <c r="AJ207" t="s">
        <v>4059</v>
      </c>
      <c r="AM207" t="s">
        <v>284</v>
      </c>
      <c r="AN207" t="s">
        <v>943</v>
      </c>
    </row>
    <row r="208" spans="17:44">
      <c r="Q208" s="99" t="s">
        <v>4774</v>
      </c>
      <c r="R208" s="95">
        <v>6667654</v>
      </c>
      <c r="T208" s="202" t="s">
        <v>4490</v>
      </c>
    </row>
    <row r="209" spans="17:44">
      <c r="Q209" s="99" t="s">
        <v>4782</v>
      </c>
      <c r="R209" s="95">
        <v>8981245</v>
      </c>
      <c r="T209" s="201">
        <f>R171/U206</f>
        <v>256.97444421508476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4788</v>
      </c>
      <c r="R210" s="95">
        <v>9181756</v>
      </c>
      <c r="W210" s="114"/>
      <c r="AI210" t="s">
        <v>4064</v>
      </c>
      <c r="AJ210" s="114">
        <f>SUM(N20:N31)</f>
        <v>251518851</v>
      </c>
      <c r="AQ210" t="s">
        <v>25</v>
      </c>
    </row>
    <row r="211" spans="17:44">
      <c r="Q211" s="99" t="s">
        <v>4799</v>
      </c>
      <c r="R211" s="95">
        <v>11811208</v>
      </c>
      <c r="U211" s="96" t="s">
        <v>267</v>
      </c>
      <c r="V211" t="s">
        <v>4491</v>
      </c>
      <c r="AI211" t="s">
        <v>4136</v>
      </c>
      <c r="AJ211" s="114">
        <f>AJ210-AJ206</f>
        <v>4937653</v>
      </c>
    </row>
    <row r="212" spans="17:44">
      <c r="Q212" s="99" t="s">
        <v>4819</v>
      </c>
      <c r="R212" s="95">
        <v>41248054</v>
      </c>
      <c r="S212" t="s">
        <v>25</v>
      </c>
      <c r="T212" s="114"/>
      <c r="U212" s="113">
        <v>652000</v>
      </c>
      <c r="V212">
        <f>U212/T209</f>
        <v>2537.2172785177163</v>
      </c>
      <c r="X212" t="s">
        <v>25</v>
      </c>
      <c r="AI212" t="s">
        <v>943</v>
      </c>
      <c r="AJ212" s="114">
        <f>AN206</f>
        <v>2837034.5980645162</v>
      </c>
    </row>
    <row r="213" spans="17:44">
      <c r="Q213" s="99" t="s">
        <v>4829</v>
      </c>
      <c r="R213" s="95">
        <v>37328780</v>
      </c>
      <c r="X213" t="s">
        <v>25</v>
      </c>
      <c r="AI213" t="s">
        <v>4065</v>
      </c>
      <c r="AJ213" s="114">
        <f>AJ211-AJ212</f>
        <v>2100618.4019354838</v>
      </c>
      <c r="AN213" t="s">
        <v>25</v>
      </c>
    </row>
    <row r="214" spans="17:44">
      <c r="Q214" s="99"/>
      <c r="R214" s="95"/>
      <c r="W214" s="229">
        <v>74657561</v>
      </c>
      <c r="X214" s="96">
        <f>W214/2</f>
        <v>37328780.5</v>
      </c>
      <c r="Y214" s="96">
        <f>W214/15</f>
        <v>4977170.7333333334</v>
      </c>
      <c r="AN214" t="s">
        <v>25</v>
      </c>
    </row>
    <row r="215" spans="17:44">
      <c r="Q215" s="99"/>
      <c r="R215" s="95">
        <f>SUM(R194:R214)</f>
        <v>408236459</v>
      </c>
    </row>
    <row r="216" spans="17:44">
      <c r="Q216" s="99"/>
      <c r="R216" s="99" t="s">
        <v>6</v>
      </c>
    </row>
    <row r="217" spans="17:44" ht="60">
      <c r="S217" t="s">
        <v>25</v>
      </c>
      <c r="T217" s="22" t="s">
        <v>4474</v>
      </c>
      <c r="X217" t="s">
        <v>25</v>
      </c>
    </row>
    <row r="218" spans="17:44" ht="45">
      <c r="T218" s="22" t="s">
        <v>4475</v>
      </c>
    </row>
    <row r="219" spans="17:44">
      <c r="Q219" s="99" t="s">
        <v>452</v>
      </c>
      <c r="R219" s="99"/>
    </row>
    <row r="220" spans="17:44">
      <c r="Q220" s="99" t="s">
        <v>4446</v>
      </c>
      <c r="R220" s="95">
        <v>63115000</v>
      </c>
    </row>
    <row r="221" spans="17:44">
      <c r="Q221" s="99" t="s">
        <v>4501</v>
      </c>
      <c r="R221" s="95">
        <v>13300000</v>
      </c>
      <c r="T221" s="99" t="s">
        <v>4492</v>
      </c>
      <c r="U221" s="99" t="s">
        <v>4463</v>
      </c>
      <c r="V221" s="99" t="s">
        <v>953</v>
      </c>
    </row>
    <row r="222" spans="17:44">
      <c r="Q222" s="99" t="s">
        <v>4511</v>
      </c>
      <c r="R222" s="95">
        <v>2269000</v>
      </c>
      <c r="T222" s="95">
        <f>R187+R215+R240</f>
        <v>786346401</v>
      </c>
      <c r="U222" s="95">
        <f>R171</f>
        <v>824116014.70000005</v>
      </c>
      <c r="V222" s="95">
        <f>U222-T222</f>
        <v>37769613.700000048</v>
      </c>
    </row>
    <row r="223" spans="17:44">
      <c r="Q223" s="99" t="s">
        <v>4637</v>
      </c>
      <c r="R223" s="95">
        <v>25071612</v>
      </c>
    </row>
    <row r="224" spans="17:44">
      <c r="Q224" s="99" t="s">
        <v>4650</v>
      </c>
      <c r="R224" s="95">
        <v>42236984</v>
      </c>
    </row>
    <row r="225" spans="17:20">
      <c r="Q225" s="99" t="s">
        <v>4653</v>
      </c>
      <c r="R225" s="95">
        <v>19663646</v>
      </c>
    </row>
    <row r="226" spans="17:20">
      <c r="Q226" s="99" t="s">
        <v>4680</v>
      </c>
      <c r="R226" s="95">
        <v>4374525</v>
      </c>
    </row>
    <row r="227" spans="17:20">
      <c r="Q227" s="99" t="s">
        <v>4696</v>
      </c>
      <c r="R227" s="95">
        <v>6550580</v>
      </c>
      <c r="T227" t="s">
        <v>25</v>
      </c>
    </row>
    <row r="228" spans="17:20">
      <c r="Q228" s="99" t="s">
        <v>4700</v>
      </c>
      <c r="R228" s="95">
        <v>7054895</v>
      </c>
      <c r="T228" t="s">
        <v>25</v>
      </c>
    </row>
    <row r="229" spans="17:20">
      <c r="Q229" s="99" t="s">
        <v>4742</v>
      </c>
      <c r="R229" s="95">
        <v>2145814</v>
      </c>
    </row>
    <row r="230" spans="17:20">
      <c r="Q230" s="99" t="s">
        <v>4758</v>
      </c>
      <c r="R230" s="95">
        <v>4369730</v>
      </c>
      <c r="T230" t="s">
        <v>25</v>
      </c>
    </row>
    <row r="231" spans="17:20">
      <c r="Q231" s="99" t="s">
        <v>4763</v>
      </c>
      <c r="R231" s="95">
        <v>8739459</v>
      </c>
    </row>
    <row r="232" spans="17:20">
      <c r="Q232" s="99" t="s">
        <v>4774</v>
      </c>
      <c r="R232" s="95">
        <v>6667654</v>
      </c>
    </row>
    <row r="233" spans="17:20">
      <c r="Q233" s="99" t="s">
        <v>3684</v>
      </c>
      <c r="R233" s="95">
        <v>8981245</v>
      </c>
    </row>
    <row r="234" spans="17:20">
      <c r="Q234" s="99" t="s">
        <v>4788</v>
      </c>
      <c r="R234" s="95">
        <v>9181756</v>
      </c>
      <c r="T234" t="s">
        <v>25</v>
      </c>
    </row>
    <row r="235" spans="17:20">
      <c r="Q235" s="99" t="s">
        <v>4799</v>
      </c>
      <c r="R235" s="95">
        <v>11811208</v>
      </c>
      <c r="T235" t="s">
        <v>25</v>
      </c>
    </row>
    <row r="236" spans="17:20">
      <c r="Q236" s="99" t="s">
        <v>4819</v>
      </c>
      <c r="R236" s="95">
        <v>41248054</v>
      </c>
    </row>
    <row r="237" spans="17:20">
      <c r="Q237" s="99" t="s">
        <v>4829</v>
      </c>
      <c r="R237" s="95">
        <v>37328780</v>
      </c>
      <c r="T237" t="s">
        <v>25</v>
      </c>
    </row>
    <row r="238" spans="17:20">
      <c r="Q238" s="99" t="s">
        <v>4839</v>
      </c>
      <c r="R238" s="95">
        <v>50000000</v>
      </c>
      <c r="T238" t="s">
        <v>25</v>
      </c>
    </row>
    <row r="239" spans="17:20">
      <c r="Q239" s="99"/>
      <c r="R239" s="95"/>
    </row>
    <row r="240" spans="17:20">
      <c r="Q240" s="99"/>
      <c r="R240" s="95">
        <f>SUM(R220:R239)</f>
        <v>364109942</v>
      </c>
    </row>
    <row r="241" spans="17:20">
      <c r="Q241" s="99"/>
      <c r="R241" s="99" t="s">
        <v>6</v>
      </c>
    </row>
    <row r="242" spans="17:20">
      <c r="T24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5:G1048576 I117:I124 G96:G11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8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abSelected="1" topLeftCell="A43" workbookViewId="0">
      <selection activeCell="D73" sqref="D7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4660</v>
      </c>
      <c r="AE1" s="168" t="s">
        <v>4661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4632</v>
      </c>
      <c r="L5" s="226">
        <v>0</v>
      </c>
      <c r="M5" s="225">
        <v>3</v>
      </c>
      <c r="N5" s="226">
        <f t="shared" ref="N5" si="3">L5*M5</f>
        <v>0</v>
      </c>
      <c r="O5" s="227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4643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4643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4643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4645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4650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4643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4650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4650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4650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4396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4653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4396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-30829</v>
      </c>
      <c r="C12" s="169"/>
      <c r="D12" s="59" t="s">
        <v>4851</v>
      </c>
      <c r="F12" s="114">
        <v>0</v>
      </c>
      <c r="J12" s="168">
        <v>11</v>
      </c>
      <c r="K12" s="168" t="s">
        <v>4680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4653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4411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4696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4669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4396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-30829</v>
      </c>
      <c r="J15" s="168">
        <v>14</v>
      </c>
      <c r="K15" s="168" t="s">
        <v>4696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4686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4396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4700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4700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4700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4700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4411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9">
        <v>17</v>
      </c>
      <c r="K18" s="219" t="s">
        <v>4742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4728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9">
        <v>18</v>
      </c>
      <c r="K19" s="219" t="s">
        <v>4742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4728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4411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9">
        <v>19</v>
      </c>
      <c r="K20" s="219" t="s">
        <v>4758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4735</v>
      </c>
      <c r="X20" s="168" t="s">
        <v>1086</v>
      </c>
      <c r="Y20" s="113">
        <v>4183832</v>
      </c>
      <c r="Z20" s="219">
        <v>0.24415416297786335</v>
      </c>
      <c r="AA20" s="228" t="s">
        <v>4411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9">
        <v>20</v>
      </c>
      <c r="K21" s="219" t="s">
        <v>4758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4742</v>
      </c>
      <c r="X21" s="219" t="s">
        <v>1086</v>
      </c>
      <c r="Y21" s="113">
        <v>4183832</v>
      </c>
      <c r="Z21" s="219">
        <v>0.23385260211213069</v>
      </c>
      <c r="AA21" s="228" t="s">
        <v>4411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4760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4745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9">
        <v>22</v>
      </c>
      <c r="K23" s="219" t="s">
        <v>4760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4745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5">
        <v>23</v>
      </c>
      <c r="K24" s="225" t="s">
        <v>4760</v>
      </c>
      <c r="L24" s="226">
        <v>4388600</v>
      </c>
      <c r="M24" s="225">
        <v>5</v>
      </c>
      <c r="N24" s="226">
        <f t="shared" si="7"/>
        <v>21943000</v>
      </c>
      <c r="O24" s="227" t="s">
        <v>4775</v>
      </c>
      <c r="W24" s="219" t="s">
        <v>4760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9">
        <v>24</v>
      </c>
      <c r="K25" s="219" t="s">
        <v>4763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4763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9">
        <v>25</v>
      </c>
      <c r="K26" s="219" t="s">
        <v>4763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4774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4411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9">
        <v>26</v>
      </c>
      <c r="K27" s="219" t="s">
        <v>4774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4411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9">
        <v>27</v>
      </c>
      <c r="K28" s="219" t="s">
        <v>4774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4788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4411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4788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4392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4788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9">
        <v>30</v>
      </c>
      <c r="K31" s="219" t="s">
        <v>4788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4788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4788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4799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4392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4802</v>
      </c>
    </row>
    <row r="33" spans="1:32">
      <c r="A33" s="99"/>
      <c r="B33" s="205"/>
      <c r="C33" s="169"/>
      <c r="D33" s="99"/>
      <c r="J33" s="219">
        <v>32</v>
      </c>
      <c r="K33" s="219" t="s">
        <v>4817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4799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4392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4817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4799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4545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4819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4819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4392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4819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4819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4545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4819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4411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4829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4411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4829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4396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4829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4392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4752</v>
      </c>
      <c r="C42" s="99" t="s">
        <v>4753</v>
      </c>
      <c r="D42" s="99" t="s">
        <v>4754</v>
      </c>
      <c r="E42" s="69" t="s">
        <v>4755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4686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4696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4700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4728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4749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4756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4758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AA52" s="96"/>
      <c r="AB52" s="96"/>
      <c r="AC52" s="96"/>
      <c r="AD52" s="96" t="s">
        <v>25</v>
      </c>
    </row>
    <row r="53" spans="1:30">
      <c r="A53" s="99" t="s">
        <v>4763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4774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4788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4674</v>
      </c>
      <c r="AA56" s="96"/>
      <c r="AB56" s="96"/>
      <c r="AC56" s="96"/>
      <c r="AD56" s="96"/>
    </row>
    <row r="57" spans="1:30">
      <c r="A57" s="99" t="s">
        <v>4799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4675</v>
      </c>
      <c r="AA57" s="212">
        <v>35441</v>
      </c>
      <c r="AB57" s="96"/>
      <c r="AC57" s="96"/>
      <c r="AD57" s="96"/>
    </row>
    <row r="58" spans="1:30" ht="120">
      <c r="A58" s="99" t="s">
        <v>4809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4678</v>
      </c>
      <c r="Y58" s="22" t="s">
        <v>4677</v>
      </c>
      <c r="Z58" s="22" t="s">
        <v>4676</v>
      </c>
      <c r="AA58" s="22" t="s">
        <v>4679</v>
      </c>
    </row>
    <row r="59" spans="1:30">
      <c r="A59" s="99" t="s">
        <v>4817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4819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4829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 t="s">
        <v>4839</v>
      </c>
      <c r="B62" s="95">
        <v>4550000</v>
      </c>
      <c r="C62" s="95">
        <v>4750000</v>
      </c>
      <c r="D62" s="95">
        <v>13400</v>
      </c>
      <c r="E62" s="95">
        <v>13500</v>
      </c>
    </row>
    <row r="63" spans="1:30">
      <c r="A63" s="99" t="s">
        <v>4851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4832</v>
      </c>
      <c r="K63" s="99" t="s">
        <v>180</v>
      </c>
      <c r="L63" s="187" t="s">
        <v>4830</v>
      </c>
      <c r="M63" s="187" t="s">
        <v>4831</v>
      </c>
      <c r="N63" s="99" t="s">
        <v>6</v>
      </c>
      <c r="O63" s="99" t="s">
        <v>4833</v>
      </c>
      <c r="P63" s="99" t="s">
        <v>4854</v>
      </c>
    </row>
    <row r="64" spans="1:30">
      <c r="A64" s="99" t="s">
        <v>4863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99"/>
      <c r="J64" s="99"/>
      <c r="K64" s="99" t="s">
        <v>4760</v>
      </c>
      <c r="L64" s="232">
        <v>535989412</v>
      </c>
      <c r="M64" s="232"/>
      <c r="N64" s="99"/>
      <c r="O64" s="99"/>
      <c r="P64" s="99"/>
    </row>
    <row r="65" spans="1:17">
      <c r="A65" s="99"/>
      <c r="B65" s="95"/>
      <c r="C65" s="95"/>
      <c r="D65" s="95"/>
      <c r="E65" s="95"/>
      <c r="I65" s="99"/>
      <c r="J65" s="95">
        <f>L65-L64</f>
        <v>12939932</v>
      </c>
      <c r="K65" s="99" t="s">
        <v>4799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4809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4817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4819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4829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4850</v>
      </c>
      <c r="J70" s="95">
        <f t="shared" si="10"/>
        <v>45893629</v>
      </c>
      <c r="K70" s="99" t="s">
        <v>4839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4851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B64-B47+L19</f>
        <v>4811628</v>
      </c>
      <c r="I72" s="99"/>
      <c r="J72" s="95">
        <f t="shared" si="10"/>
        <v>-629286372</v>
      </c>
      <c r="K72" s="99"/>
      <c r="L72" s="232">
        <v>0</v>
      </c>
      <c r="M72" s="232"/>
      <c r="N72" s="95">
        <f t="shared" si="11"/>
        <v>0</v>
      </c>
      <c r="O72" s="95">
        <f t="shared" si="12"/>
        <v>-246690884</v>
      </c>
      <c r="P72" s="95">
        <f t="shared" si="13"/>
        <v>-875977256</v>
      </c>
    </row>
    <row r="73" spans="1:17">
      <c r="B73" t="s">
        <v>25</v>
      </c>
      <c r="I73" s="99"/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  <c r="P73" s="95">
        <f t="shared" si="13"/>
        <v>0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2019-02-28T11:32:07Z</dcterms:modified>
</cp:coreProperties>
</file>