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7" activeTab="8"/>
  </bookViews>
  <sheets>
    <sheet name="AgentBased" sheetId="44" r:id="rId1"/>
    <sheet name="وغدیر" sheetId="60" r:id="rId2"/>
    <sheet name="سرمایه گذاری ها" sheetId="59" r:id="rId3"/>
    <sheet name="فروردین 98" sheetId="58" r:id="rId4"/>
    <sheet name="سارا" sheetId="20" r:id="rId5"/>
    <sheet name="مسکن علی سید الشهدا" sheetId="16" r:id="rId6"/>
    <sheet name="مسکن ایلیا" sheetId="15" r:id="rId7"/>
    <sheet name="مسکن مریم یاران" sheetId="13" r:id="rId8"/>
    <sheet name="برنامه 5 ساله" sheetId="18" r:id="rId9"/>
    <sheet name="خرید و فروش سکه فیزیکی" sheetId="52" r:id="rId10"/>
    <sheet name="strategy" sheetId="49" r:id="rId11"/>
    <sheet name="مسکن مریم سید الشهدا" sheetId="14" r:id="rId12"/>
    <sheet name="بدهی خانه" sheetId="10" r:id="rId13"/>
    <sheet name="اردیبهشت95" sheetId="5" r:id="rId14"/>
    <sheet name="خرداد 95" sheetId="4" r:id="rId15"/>
    <sheet name="تیرماه95" sheetId="2" r:id="rId16"/>
    <sheet name="مرداد 95" sheetId="3" r:id="rId17"/>
    <sheet name="شهریور 95" sheetId="6" r:id="rId18"/>
    <sheet name="مهر 95" sheetId="7" r:id="rId19"/>
    <sheet name="آبان 95" sheetId="8" r:id="rId20"/>
    <sheet name="آذر 95" sheetId="9" r:id="rId21"/>
    <sheet name="دی 95" sheetId="11" r:id="rId22"/>
    <sheet name="بهمن 95" sheetId="12" r:id="rId23"/>
    <sheet name="اسفند 95" sheetId="17" r:id="rId24"/>
    <sheet name="فروردین 96" sheetId="19" r:id="rId25"/>
    <sheet name="اردیبهشت 96" sheetId="21" r:id="rId26"/>
    <sheet name="خرداد 96" sheetId="22" r:id="rId27"/>
    <sheet name="تیر 96" sheetId="23" r:id="rId28"/>
    <sheet name="مرداد 96" sheetId="24" r:id="rId29"/>
    <sheet name="شهریور 96" sheetId="25" r:id="rId30"/>
    <sheet name="مهر96" sheetId="26" r:id="rId31"/>
    <sheet name="آبان 96" sheetId="27" r:id="rId32"/>
    <sheet name="آذر 96" sheetId="28" r:id="rId33"/>
    <sheet name="دی 96" sheetId="29" r:id="rId34"/>
    <sheet name="بهمن 96" sheetId="30" r:id="rId35"/>
    <sheet name="اسفند 96" sheetId="31" r:id="rId36"/>
    <sheet name="فروردین 97" sheetId="34" r:id="rId37"/>
    <sheet name="اردیبهشت 97" sheetId="38" r:id="rId38"/>
    <sheet name="خرداد 97" sheetId="42" r:id="rId39"/>
    <sheet name="تیر97" sheetId="43" r:id="rId40"/>
    <sheet name="مرداد97" sheetId="45" r:id="rId41"/>
    <sheet name="شهریور97" sheetId="46" r:id="rId42"/>
    <sheet name="مهر97" sheetId="48" r:id="rId43"/>
    <sheet name="آبان97" sheetId="50" r:id="rId44"/>
    <sheet name="آذر 97" sheetId="51" r:id="rId45"/>
    <sheet name="دی 97" sheetId="54" r:id="rId46"/>
    <sheet name="بهمن 97" sheetId="55" r:id="rId47"/>
    <sheet name="اسفند97" sheetId="57" r:id="rId48"/>
    <sheet name="لیست خرید و فروش" sheetId="32" r:id="rId49"/>
    <sheet name="اوراق بدون ریسک" sheetId="33" r:id="rId50"/>
    <sheet name="نکات" sheetId="35" r:id="rId51"/>
    <sheet name="سکه" sheetId="36" r:id="rId52"/>
    <sheet name="apply" sheetId="37" r:id="rId53"/>
    <sheet name="بیمه" sheetId="39" r:id="rId54"/>
    <sheet name="آرشیو قیمت ارجینال" sheetId="40" r:id="rId55"/>
    <sheet name="تحلیل1" sheetId="41" r:id="rId56"/>
    <sheet name="Sheet1" sheetId="53" r:id="rId57"/>
    <sheet name="صبحانه" sheetId="56" r:id="rId58"/>
  </sheets>
  <calcPr calcId="145621"/>
</workbook>
</file>

<file path=xl/calcChain.xml><?xml version="1.0" encoding="utf-8"?>
<calcChain xmlns="http://schemas.openxmlformats.org/spreadsheetml/2006/main">
  <c r="O126" i="52" l="1"/>
  <c r="N126" i="52"/>
  <c r="P126" i="52" s="1"/>
  <c r="O125" i="52"/>
  <c r="N125" i="52"/>
  <c r="P125" i="52" s="1"/>
  <c r="O124" i="52"/>
  <c r="N124" i="52"/>
  <c r="O123" i="52"/>
  <c r="N123" i="52"/>
  <c r="P123" i="52" s="1"/>
  <c r="O122" i="52"/>
  <c r="N122" i="52"/>
  <c r="P122" i="52" s="1"/>
  <c r="O121" i="52"/>
  <c r="N121" i="52"/>
  <c r="P121" i="52" s="1"/>
  <c r="O120" i="52"/>
  <c r="N120" i="52"/>
  <c r="O119" i="52"/>
  <c r="N119" i="52"/>
  <c r="P119" i="52" s="1"/>
  <c r="O118" i="52"/>
  <c r="N118" i="52"/>
  <c r="P118" i="52" s="1"/>
  <c r="P117" i="52"/>
  <c r="O117" i="52"/>
  <c r="N117" i="52"/>
  <c r="O116" i="52"/>
  <c r="N116" i="52"/>
  <c r="O115" i="52"/>
  <c r="N115" i="52"/>
  <c r="P115" i="52" s="1"/>
  <c r="O114" i="52"/>
  <c r="N114" i="52"/>
  <c r="P114" i="52" s="1"/>
  <c r="P113" i="52"/>
  <c r="O113" i="52"/>
  <c r="N113" i="52"/>
  <c r="O112" i="52"/>
  <c r="N112" i="52"/>
  <c r="O111" i="52"/>
  <c r="N111" i="52"/>
  <c r="P111" i="52" s="1"/>
  <c r="J125" i="52"/>
  <c r="J124" i="52"/>
  <c r="J123" i="52"/>
  <c r="J122" i="52"/>
  <c r="J121" i="52"/>
  <c r="J120" i="52"/>
  <c r="J119" i="52"/>
  <c r="J118" i="52"/>
  <c r="J117" i="52"/>
  <c r="J116" i="52"/>
  <c r="J115" i="52"/>
  <c r="J114" i="52"/>
  <c r="J113" i="52"/>
  <c r="J112" i="52"/>
  <c r="J111" i="52"/>
  <c r="J110" i="52"/>
  <c r="P116" i="52" l="1"/>
  <c r="P120" i="52"/>
  <c r="P124" i="52"/>
  <c r="P112" i="52"/>
  <c r="V57" i="18"/>
  <c r="W57" i="18" s="1"/>
  <c r="V56" i="18"/>
  <c r="W56" i="18" s="1"/>
  <c r="S57" i="18"/>
  <c r="S56" i="18"/>
  <c r="P110" i="52"/>
  <c r="O110" i="52"/>
  <c r="X57" i="18" l="1"/>
  <c r="X56" i="18"/>
  <c r="P180" i="18"/>
  <c r="W264" i="18"/>
  <c r="J108" i="52"/>
  <c r="R228" i="18" l="1"/>
  <c r="U266" i="18"/>
  <c r="W263" i="18"/>
  <c r="W262" i="18"/>
  <c r="O106" i="52" l="1"/>
  <c r="J106" i="52"/>
  <c r="J104" i="52" l="1"/>
  <c r="G138" i="18"/>
  <c r="E276" i="15"/>
  <c r="E277" i="15"/>
  <c r="E278" i="15"/>
  <c r="E279" i="15"/>
  <c r="E280" i="15"/>
  <c r="E281" i="15"/>
  <c r="E282" i="15"/>
  <c r="E283" i="15"/>
  <c r="E284" i="15"/>
  <c r="E285" i="15"/>
  <c r="E286" i="15"/>
  <c r="D287" i="15"/>
  <c r="D286" i="15" s="1"/>
  <c r="E287" i="15"/>
  <c r="F286" i="15" l="1"/>
  <c r="D285" i="15"/>
  <c r="F287" i="15"/>
  <c r="AL240" i="18"/>
  <c r="AM240" i="18" s="1"/>
  <c r="W261" i="18"/>
  <c r="D284" i="15" l="1"/>
  <c r="F285" i="15"/>
  <c r="AL239" i="18"/>
  <c r="D8" i="60"/>
  <c r="C7" i="60"/>
  <c r="J3" i="60"/>
  <c r="F8" i="60" s="1"/>
  <c r="D3" i="60"/>
  <c r="D4" i="60"/>
  <c r="D5" i="60"/>
  <c r="D6" i="60"/>
  <c r="D2" i="60"/>
  <c r="D7" i="60" l="1"/>
  <c r="D16" i="60"/>
  <c r="F284" i="15"/>
  <c r="D283" i="15"/>
  <c r="F13" i="60"/>
  <c r="D13" i="60"/>
  <c r="F18" i="60"/>
  <c r="F10" i="60"/>
  <c r="D12" i="60"/>
  <c r="F17" i="60"/>
  <c r="F9" i="60"/>
  <c r="D17" i="60"/>
  <c r="D9" i="60"/>
  <c r="F14" i="60"/>
  <c r="AL238" i="18"/>
  <c r="AM239" i="18"/>
  <c r="D18" i="60"/>
  <c r="D14" i="60"/>
  <c r="D10" i="60"/>
  <c r="F19" i="60"/>
  <c r="F15" i="60"/>
  <c r="F11" i="60"/>
  <c r="D19" i="60"/>
  <c r="D15" i="60"/>
  <c r="D11" i="60"/>
  <c r="F7" i="60"/>
  <c r="F16" i="60"/>
  <c r="F12" i="60"/>
  <c r="W260" i="18"/>
  <c r="D21" i="60" l="1"/>
  <c r="D282" i="15"/>
  <c r="F283" i="15"/>
  <c r="AM238" i="18"/>
  <c r="AL237" i="18"/>
  <c r="D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" i="59"/>
  <c r="F282" i="15" l="1"/>
  <c r="D281" i="15"/>
  <c r="AL236" i="18"/>
  <c r="AM237" i="18"/>
  <c r="D280" i="15" l="1"/>
  <c r="F281" i="15"/>
  <c r="AM236" i="18"/>
  <c r="AL235" i="18"/>
  <c r="D68" i="52"/>
  <c r="D279" i="15" l="1"/>
  <c r="F280" i="15"/>
  <c r="AL234" i="18"/>
  <c r="AM235" i="18"/>
  <c r="N98" i="52"/>
  <c r="O98" i="52"/>
  <c r="N99" i="52"/>
  <c r="O99" i="52"/>
  <c r="N100" i="52"/>
  <c r="O100" i="52"/>
  <c r="N101" i="52"/>
  <c r="O101" i="52"/>
  <c r="N102" i="52"/>
  <c r="O102" i="52"/>
  <c r="N103" i="52"/>
  <c r="O103" i="52"/>
  <c r="N104" i="52"/>
  <c r="O104" i="52"/>
  <c r="N105" i="52"/>
  <c r="O105" i="52"/>
  <c r="N106" i="52"/>
  <c r="N107" i="52"/>
  <c r="O107" i="52"/>
  <c r="N108" i="52"/>
  <c r="P108" i="52" s="1"/>
  <c r="O108" i="52"/>
  <c r="N109" i="52"/>
  <c r="O109" i="52"/>
  <c r="N110" i="52"/>
  <c r="J100" i="52"/>
  <c r="J101" i="52"/>
  <c r="J102" i="52"/>
  <c r="J103" i="52"/>
  <c r="J105" i="52"/>
  <c r="J107" i="52"/>
  <c r="J109" i="52"/>
  <c r="J126" i="52"/>
  <c r="J97" i="52"/>
  <c r="J98" i="52"/>
  <c r="J99" i="52"/>
  <c r="P106" i="52" l="1"/>
  <c r="P104" i="52"/>
  <c r="P107" i="52"/>
  <c r="D278" i="15"/>
  <c r="F279" i="15"/>
  <c r="P105" i="52"/>
  <c r="AM234" i="18"/>
  <c r="AL233" i="18"/>
  <c r="P99" i="52"/>
  <c r="P109" i="52"/>
  <c r="P103" i="52"/>
  <c r="P102" i="52"/>
  <c r="P101" i="52"/>
  <c r="P100" i="52"/>
  <c r="F278" i="15" l="1"/>
  <c r="D277" i="15"/>
  <c r="AL232" i="18"/>
  <c r="AM233" i="18"/>
  <c r="R298" i="18"/>
  <c r="J90" i="52"/>
  <c r="J95" i="52"/>
  <c r="W259" i="18"/>
  <c r="AJ165" i="18"/>
  <c r="AL150" i="18"/>
  <c r="AM150" i="18" s="1"/>
  <c r="AL151" i="18"/>
  <c r="AM151" i="18" s="1"/>
  <c r="AL152" i="18"/>
  <c r="AM152" i="18" s="1"/>
  <c r="AL153" i="18"/>
  <c r="AM153" i="18" s="1"/>
  <c r="AL154" i="18"/>
  <c r="AM154" i="18" s="1"/>
  <c r="AL155" i="18"/>
  <c r="AM155" i="18" s="1"/>
  <c r="AL156" i="18"/>
  <c r="AM156" i="18" s="1"/>
  <c r="AL157" i="18"/>
  <c r="AM157" i="18" s="1"/>
  <c r="AL158" i="18"/>
  <c r="AM158" i="18" s="1"/>
  <c r="AL159" i="18"/>
  <c r="AM159" i="18" s="1"/>
  <c r="AL160" i="18"/>
  <c r="AM160" i="18" s="1"/>
  <c r="AL161" i="18"/>
  <c r="AM161" i="18" s="1"/>
  <c r="AL162" i="18"/>
  <c r="AM162" i="18" s="1"/>
  <c r="AM163" i="18"/>
  <c r="D276" i="15" l="1"/>
  <c r="F276" i="15" s="1"/>
  <c r="F277" i="15"/>
  <c r="AM232" i="18"/>
  <c r="AL231" i="18"/>
  <c r="F51" i="14"/>
  <c r="F52" i="14"/>
  <c r="F53" i="14"/>
  <c r="F54" i="14"/>
  <c r="F55" i="14"/>
  <c r="F56" i="14"/>
  <c r="F57" i="14"/>
  <c r="F58" i="14"/>
  <c r="F59" i="14"/>
  <c r="F60" i="14"/>
  <c r="F61" i="14"/>
  <c r="AL230" i="18" l="1"/>
  <c r="AM231" i="18"/>
  <c r="N92" i="52"/>
  <c r="O92" i="52"/>
  <c r="N93" i="52"/>
  <c r="O93" i="52"/>
  <c r="N94" i="52"/>
  <c r="O94" i="52"/>
  <c r="N95" i="52"/>
  <c r="O95" i="52"/>
  <c r="N96" i="52"/>
  <c r="O96" i="52"/>
  <c r="N97" i="52"/>
  <c r="O97" i="52"/>
  <c r="J92" i="52"/>
  <c r="J93" i="52"/>
  <c r="J94" i="52"/>
  <c r="J96" i="52"/>
  <c r="O144" i="18"/>
  <c r="O143" i="18"/>
  <c r="O142" i="18"/>
  <c r="AM230" i="18" l="1"/>
  <c r="AL229" i="18"/>
  <c r="P97" i="52"/>
  <c r="P98" i="52"/>
  <c r="P95" i="52"/>
  <c r="P96" i="52"/>
  <c r="P94" i="52"/>
  <c r="P93" i="52"/>
  <c r="O146" i="18"/>
  <c r="N91" i="52"/>
  <c r="P92" i="52" s="1"/>
  <c r="AL228" i="18" l="1"/>
  <c r="AM228" i="18" s="1"/>
  <c r="AM229" i="18"/>
  <c r="R259" i="18"/>
  <c r="T282" i="18" s="1"/>
  <c r="W258" i="18"/>
  <c r="W257" i="18"/>
  <c r="W256" i="18"/>
  <c r="M48" i="52"/>
  <c r="M47" i="52"/>
  <c r="N38" i="52"/>
  <c r="N37" i="52"/>
  <c r="M49" i="52"/>
  <c r="N50" i="52" s="1"/>
  <c r="N49" i="52" l="1"/>
  <c r="D63" i="58"/>
  <c r="AL148" i="18"/>
  <c r="AM148" i="18" s="1"/>
  <c r="AL149" i="18"/>
  <c r="AM149" i="18" s="1"/>
  <c r="W255" i="18"/>
  <c r="G139" i="18" l="1"/>
  <c r="J139" i="18" s="1"/>
  <c r="J138" i="18"/>
  <c r="G137" i="18"/>
  <c r="J137" i="18" s="1"/>
  <c r="G136" i="18"/>
  <c r="J136" i="18" s="1"/>
  <c r="J140" i="18" l="1"/>
  <c r="W254" i="18"/>
  <c r="O90" i="52" l="1"/>
  <c r="O91" i="52"/>
  <c r="J91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2" i="18"/>
  <c r="N32" i="18" s="1"/>
  <c r="W253" i="18"/>
  <c r="G32" i="57" l="1"/>
  <c r="H32" i="57"/>
  <c r="D32" i="57"/>
  <c r="I32" i="57" s="1"/>
  <c r="D345" i="20"/>
  <c r="W252" i="18"/>
  <c r="W251" i="18"/>
  <c r="W187" i="18" l="1"/>
  <c r="W186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C46" i="56" l="1"/>
  <c r="B46" i="56"/>
  <c r="O84" i="52" l="1"/>
  <c r="P22" i="18"/>
  <c r="W250" i="18"/>
  <c r="D343" i="20"/>
  <c r="W249" i="18" l="1"/>
  <c r="D342" i="20"/>
  <c r="J83" i="52"/>
  <c r="O83" i="52"/>
  <c r="W248" i="18"/>
  <c r="W247" i="18"/>
  <c r="F44" i="14"/>
  <c r="F45" i="14"/>
  <c r="F46" i="14"/>
  <c r="F47" i="14"/>
  <c r="F48" i="14"/>
  <c r="F49" i="14"/>
  <c r="F50" i="14"/>
  <c r="D341" i="20"/>
  <c r="AJ241" i="18" l="1"/>
  <c r="AL147" i="18" l="1"/>
  <c r="AM147" i="18" s="1"/>
  <c r="W246" i="18"/>
  <c r="AL145" i="18" l="1"/>
  <c r="AM145" i="18" s="1"/>
  <c r="D340" i="20" l="1"/>
  <c r="P23" i="18"/>
  <c r="N23" i="18" s="1"/>
  <c r="N48" i="18"/>
  <c r="W245" i="18"/>
  <c r="H337" i="20"/>
  <c r="H338" i="20"/>
  <c r="H339" i="20"/>
  <c r="H340" i="20"/>
  <c r="H341" i="20"/>
  <c r="H368" i="20"/>
  <c r="H369" i="20"/>
  <c r="D339" i="20"/>
  <c r="O76" i="18" l="1"/>
  <c r="O75" i="18"/>
  <c r="O74" i="18"/>
  <c r="B371" i="20"/>
  <c r="D332" i="20"/>
  <c r="D333" i="20"/>
  <c r="D334" i="20"/>
  <c r="D335" i="20"/>
  <c r="D336" i="20"/>
  <c r="D337" i="20"/>
  <c r="D338" i="20"/>
  <c r="D369" i="20"/>
  <c r="W244" i="18" l="1"/>
  <c r="D80" i="57"/>
  <c r="AD46" i="52" l="1"/>
  <c r="AE46" i="52"/>
  <c r="G46" i="10"/>
  <c r="D331" i="20" l="1"/>
  <c r="D330" i="20" l="1"/>
  <c r="W243" i="18" l="1"/>
  <c r="W242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P87" i="52" s="1"/>
  <c r="N88" i="52"/>
  <c r="N89" i="52"/>
  <c r="N90" i="52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83" i="52" l="1"/>
  <c r="P91" i="52"/>
  <c r="P90" i="52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55" i="18"/>
  <c r="M115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41" i="18" l="1"/>
  <c r="W240" i="18"/>
  <c r="G129" i="18"/>
  <c r="J129" i="18" s="1"/>
  <c r="G128" i="18"/>
  <c r="J128" i="18" s="1"/>
  <c r="G127" i="18"/>
  <c r="J127" i="18" s="1"/>
  <c r="G126" i="18"/>
  <c r="J126" i="18" s="1"/>
  <c r="J130" i="18" l="1"/>
  <c r="Z40" i="52"/>
  <c r="Z39" i="52"/>
  <c r="Z38" i="52"/>
  <c r="AD38" i="52"/>
  <c r="AD39" i="52"/>
  <c r="AD40" i="52"/>
  <c r="AE40" i="52"/>
  <c r="AE39" i="52"/>
  <c r="AE38" i="52"/>
  <c r="R202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9" i="18"/>
  <c r="W238" i="18"/>
  <c r="L38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37" i="18" l="1"/>
  <c r="W236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35" i="18" l="1"/>
  <c r="W234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P25" i="18"/>
  <c r="N25" i="18" s="1"/>
  <c r="N22" i="18"/>
  <c r="P30" i="18"/>
  <c r="N30" i="18" s="1"/>
  <c r="W233" i="18" l="1"/>
  <c r="W232" i="18"/>
  <c r="N30" i="52"/>
  <c r="N29" i="52"/>
  <c r="AD27" i="52"/>
  <c r="Z27" i="52"/>
  <c r="AE27" i="52"/>
  <c r="W231" i="18" l="1"/>
  <c r="W230" i="18"/>
  <c r="N28" i="52"/>
  <c r="N27" i="52"/>
  <c r="AD26" i="52" l="1"/>
  <c r="AE26" i="52"/>
  <c r="N40" i="18"/>
  <c r="AL227" i="18" l="1"/>
  <c r="D313" i="20"/>
  <c r="AL226" i="18" l="1"/>
  <c r="AM227" i="18"/>
  <c r="L119" i="18"/>
  <c r="L116" i="18" s="1"/>
  <c r="AM226" i="18" l="1"/>
  <c r="AL225" i="18"/>
  <c r="L114" i="18"/>
  <c r="L115" i="18"/>
  <c r="N115" i="18" s="1"/>
  <c r="M119" i="18"/>
  <c r="L108" i="18"/>
  <c r="W229" i="18"/>
  <c r="W228" i="18"/>
  <c r="N24" i="52"/>
  <c r="N26" i="52"/>
  <c r="N25" i="52"/>
  <c r="AL224" i="18" l="1"/>
  <c r="AM225" i="18"/>
  <c r="N67" i="18"/>
  <c r="K118" i="18"/>
  <c r="L110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24" i="18"/>
  <c r="AL223" i="18"/>
  <c r="I370" i="20"/>
  <c r="J370" i="20"/>
  <c r="W227" i="18"/>
  <c r="W226" i="18"/>
  <c r="N23" i="52"/>
  <c r="N22" i="52"/>
  <c r="Z24" i="52"/>
  <c r="AD24" i="52"/>
  <c r="AE24" i="52"/>
  <c r="I368" i="20" l="1"/>
  <c r="G367" i="20"/>
  <c r="J368" i="20"/>
  <c r="K368" i="20"/>
  <c r="AL222" i="18"/>
  <c r="AM223" i="18"/>
  <c r="W225" i="18"/>
  <c r="W224" i="18"/>
  <c r="N21" i="52"/>
  <c r="N20" i="52"/>
  <c r="G366" i="20" l="1"/>
  <c r="I367" i="20"/>
  <c r="K367" i="20"/>
  <c r="J367" i="20"/>
  <c r="AL221" i="18"/>
  <c r="AM222" i="18"/>
  <c r="D309" i="20"/>
  <c r="J366" i="20" l="1"/>
  <c r="K366" i="20"/>
  <c r="I366" i="20"/>
  <c r="G365" i="20"/>
  <c r="AL220" i="18"/>
  <c r="AM221" i="18"/>
  <c r="D308" i="20"/>
  <c r="G364" i="20" l="1"/>
  <c r="I365" i="20"/>
  <c r="J365" i="20"/>
  <c r="K365" i="20"/>
  <c r="AL219" i="18"/>
  <c r="AM220" i="18"/>
  <c r="N46" i="18"/>
  <c r="AL164" i="18"/>
  <c r="D307" i="20"/>
  <c r="I364" i="20" l="1"/>
  <c r="J364" i="20"/>
  <c r="K364" i="20"/>
  <c r="G363" i="20"/>
  <c r="AL218" i="18"/>
  <c r="AM219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10" i="18"/>
  <c r="AM164" i="18"/>
  <c r="AD23" i="52"/>
  <c r="Z23" i="52"/>
  <c r="AE23" i="52"/>
  <c r="Z22" i="52"/>
  <c r="AD22" i="52"/>
  <c r="AE22" i="52"/>
  <c r="N56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17" i="18"/>
  <c r="AM218" i="18"/>
  <c r="W223" i="18"/>
  <c r="W222" i="18"/>
  <c r="K362" i="20" l="1"/>
  <c r="G361" i="20"/>
  <c r="I362" i="20"/>
  <c r="J362" i="20"/>
  <c r="AL216" i="18"/>
  <c r="AM217" i="18"/>
  <c r="AD21" i="52"/>
  <c r="AC21" i="52"/>
  <c r="AE21" i="52"/>
  <c r="AD20" i="52"/>
  <c r="AC20" i="52"/>
  <c r="AE20" i="52"/>
  <c r="I361" i="20" l="1"/>
  <c r="G360" i="20"/>
  <c r="J361" i="20"/>
  <c r="K361" i="20"/>
  <c r="AL215" i="18"/>
  <c r="AM216" i="18"/>
  <c r="G113" i="18"/>
  <c r="F113" i="18" s="1"/>
  <c r="G112" i="18"/>
  <c r="F112" i="18" s="1"/>
  <c r="G111" i="18"/>
  <c r="F111" i="18" s="1"/>
  <c r="G110" i="18"/>
  <c r="F110" i="18" s="1"/>
  <c r="G109" i="18"/>
  <c r="F109" i="18" s="1"/>
  <c r="G108" i="18"/>
  <c r="F108" i="18" s="1"/>
  <c r="P31" i="18"/>
  <c r="N31" i="18" s="1"/>
  <c r="P24" i="18"/>
  <c r="N24" i="18" s="1"/>
  <c r="I360" i="20" l="1"/>
  <c r="K360" i="20"/>
  <c r="G359" i="20"/>
  <c r="J360" i="20"/>
  <c r="AL214" i="18"/>
  <c r="AM215" i="18"/>
  <c r="D306" i="20"/>
  <c r="G358" i="20" l="1"/>
  <c r="J359" i="20"/>
  <c r="K359" i="20"/>
  <c r="I359" i="20"/>
  <c r="AL213" i="18"/>
  <c r="AM214" i="18"/>
  <c r="D305" i="20"/>
  <c r="K358" i="20" l="1"/>
  <c r="I358" i="20"/>
  <c r="G357" i="20"/>
  <c r="J358" i="20"/>
  <c r="AL212" i="18"/>
  <c r="AM213" i="18"/>
  <c r="AD19" i="52"/>
  <c r="AD18" i="52"/>
  <c r="Z19" i="52"/>
  <c r="Z18" i="52"/>
  <c r="AE19" i="52"/>
  <c r="AE18" i="52"/>
  <c r="I357" i="20" l="1"/>
  <c r="J357" i="20"/>
  <c r="G356" i="20"/>
  <c r="K357" i="20"/>
  <c r="AM212" i="18"/>
  <c r="AL211" i="18"/>
  <c r="D304" i="20"/>
  <c r="W221" i="18"/>
  <c r="W220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09" i="18"/>
  <c r="L111" i="18"/>
  <c r="L112" i="18"/>
  <c r="L113" i="18"/>
  <c r="J355" i="20" l="1"/>
  <c r="I355" i="20"/>
  <c r="G354" i="20"/>
  <c r="K355" i="20"/>
  <c r="W219" i="18"/>
  <c r="W218" i="18"/>
  <c r="D303" i="20"/>
  <c r="D302" i="20"/>
  <c r="W217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3" i="18"/>
  <c r="P29" i="18"/>
  <c r="P26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15" i="18"/>
  <c r="N54" i="18"/>
  <c r="M114" i="18" s="1"/>
  <c r="N114" i="18" s="1"/>
  <c r="N52" i="18"/>
  <c r="M113" i="18" s="1"/>
  <c r="I350" i="20" l="1"/>
  <c r="J350" i="20"/>
  <c r="K350" i="20"/>
  <c r="G349" i="20"/>
  <c r="N113" i="18"/>
  <c r="AD14" i="52"/>
  <c r="AE14" i="52"/>
  <c r="AD13" i="52"/>
  <c r="AE13" i="52"/>
  <c r="Z14" i="52"/>
  <c r="D296" i="20"/>
  <c r="D295" i="20"/>
  <c r="K349" i="20" l="1"/>
  <c r="I349" i="20"/>
  <c r="J349" i="20"/>
  <c r="G348" i="20"/>
  <c r="W214" i="18"/>
  <c r="W213" i="18"/>
  <c r="L11" i="52"/>
  <c r="L10" i="52"/>
  <c r="AL210" i="18"/>
  <c r="AL209" i="18" s="1"/>
  <c r="AL208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211" i="18"/>
  <c r="AM210" i="18"/>
  <c r="AM209" i="18"/>
  <c r="W212" i="18"/>
  <c r="W211" i="18"/>
  <c r="G346" i="20" l="1"/>
  <c r="J347" i="20"/>
  <c r="I347" i="20"/>
  <c r="K347" i="20"/>
  <c r="D293" i="20"/>
  <c r="K346" i="20" l="1"/>
  <c r="G345" i="20"/>
  <c r="J346" i="20"/>
  <c r="I346" i="20"/>
  <c r="W210" i="18"/>
  <c r="N53" i="18"/>
  <c r="M112" i="18" s="1"/>
  <c r="K345" i="20" l="1"/>
  <c r="G344" i="20"/>
  <c r="J345" i="20"/>
  <c r="I345" i="20"/>
  <c r="N112" i="18"/>
  <c r="D292" i="20"/>
  <c r="C8" i="36"/>
  <c r="W209" i="18"/>
  <c r="N5" i="52"/>
  <c r="I344" i="20" l="1"/>
  <c r="K344" i="20"/>
  <c r="G343" i="20"/>
  <c r="J344" i="20"/>
  <c r="N49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29" i="18"/>
  <c r="AL207" i="18"/>
  <c r="AL206" i="18" s="1"/>
  <c r="D288" i="20"/>
  <c r="I340" i="20" l="1"/>
  <c r="K340" i="20"/>
  <c r="G339" i="20"/>
  <c r="J340" i="20"/>
  <c r="AM208" i="18"/>
  <c r="AM207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208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83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D275" i="15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D282" i="20"/>
  <c r="F261" i="15" l="1"/>
  <c r="K332" i="20"/>
  <c r="I332" i="20"/>
  <c r="G331" i="20"/>
  <c r="J332" i="20"/>
  <c r="F268" i="15"/>
  <c r="F264" i="15"/>
  <c r="F275" i="15"/>
  <c r="F271" i="15"/>
  <c r="F267" i="15"/>
  <c r="F263" i="15"/>
  <c r="F272" i="15"/>
  <c r="F274" i="15"/>
  <c r="F270" i="15"/>
  <c r="F266" i="15"/>
  <c r="F262" i="15"/>
  <c r="F273" i="15"/>
  <c r="F269" i="15"/>
  <c r="F265" i="15"/>
  <c r="R179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84" i="18"/>
  <c r="W207" i="18"/>
  <c r="D278" i="20"/>
  <c r="J327" i="20" l="1"/>
  <c r="K327" i="20"/>
  <c r="G326" i="20"/>
  <c r="I327" i="20"/>
  <c r="W185" i="18"/>
  <c r="B289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9" i="18"/>
  <c r="I325" i="20" l="1"/>
  <c r="K325" i="20"/>
  <c r="J325" i="20"/>
  <c r="G324" i="20"/>
  <c r="S178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47" i="18"/>
  <c r="M116" i="18" s="1"/>
  <c r="G320" i="20" l="1"/>
  <c r="K321" i="20"/>
  <c r="I321" i="20"/>
  <c r="J321" i="20"/>
  <c r="H270" i="20"/>
  <c r="H271" i="20"/>
  <c r="H272" i="20"/>
  <c r="D269" i="20"/>
  <c r="H269" i="20"/>
  <c r="I320" i="20" l="1"/>
  <c r="J320" i="20"/>
  <c r="K320" i="20"/>
  <c r="G319" i="20"/>
  <c r="AL135" i="18"/>
  <c r="S95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I9" i="54" s="1"/>
  <c r="D10" i="54"/>
  <c r="I10" i="54" s="1"/>
  <c r="D11" i="54"/>
  <c r="I11" i="54" s="1"/>
  <c r="D12" i="54"/>
  <c r="I12" i="54" s="1"/>
  <c r="D13" i="54"/>
  <c r="D14" i="54"/>
  <c r="D15" i="54"/>
  <c r="I15" i="54" s="1"/>
  <c r="D16" i="54"/>
  <c r="I16" i="54" s="1"/>
  <c r="D17" i="54"/>
  <c r="I17" i="54" s="1"/>
  <c r="D18" i="54"/>
  <c r="I18" i="54" s="1"/>
  <c r="D19" i="54"/>
  <c r="I19" i="54" s="1"/>
  <c r="D20" i="54"/>
  <c r="I20" i="54" s="1"/>
  <c r="D21" i="54"/>
  <c r="I21" i="54" s="1"/>
  <c r="D22" i="54"/>
  <c r="I22" i="54" s="1"/>
  <c r="D23" i="54"/>
  <c r="I23" i="54" s="1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H22" i="54"/>
  <c r="G22" i="54"/>
  <c r="H21" i="54"/>
  <c r="G21" i="54"/>
  <c r="H20" i="54"/>
  <c r="G20" i="54"/>
  <c r="H19" i="54"/>
  <c r="G19" i="54"/>
  <c r="H18" i="54"/>
  <c r="G18" i="54"/>
  <c r="H17" i="54"/>
  <c r="G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H10" i="54"/>
  <c r="G10" i="54"/>
  <c r="H9" i="54"/>
  <c r="G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26" i="18"/>
  <c r="N127" i="18"/>
  <c r="N128" i="18"/>
  <c r="N129" i="18"/>
  <c r="N130" i="18"/>
  <c r="N131" i="18"/>
  <c r="N132" i="18"/>
  <c r="N133" i="18"/>
  <c r="N125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206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205" i="18"/>
  <c r="AM124" i="18" l="1"/>
  <c r="AL123" i="18"/>
  <c r="AM123" i="18" l="1"/>
  <c r="AL122" i="18"/>
  <c r="AL121" i="18" l="1"/>
  <c r="AM122" i="18"/>
  <c r="W199" i="18"/>
  <c r="W200" i="18"/>
  <c r="W201" i="18"/>
  <c r="W202" i="18"/>
  <c r="W203" i="18"/>
  <c r="W204" i="18"/>
  <c r="W216" i="18"/>
  <c r="W198" i="18"/>
  <c r="AM121" i="18" l="1"/>
  <c r="AL120" i="18"/>
  <c r="N58" i="18"/>
  <c r="AM120" i="18" l="1"/>
  <c r="AL119" i="18"/>
  <c r="AM119" i="18" l="1"/>
  <c r="AL118" i="18"/>
  <c r="T182" i="18"/>
  <c r="S64" i="18"/>
  <c r="S65" i="18" s="1"/>
  <c r="S66" i="18" s="1"/>
  <c r="R203" i="18"/>
  <c r="R201" i="18"/>
  <c r="D57" i="51"/>
  <c r="AL117" i="18" l="1"/>
  <c r="AM118" i="18"/>
  <c r="S67" i="18"/>
  <c r="S68" i="18" s="1"/>
  <c r="AM117" i="18" l="1"/>
  <c r="AL116" i="18"/>
  <c r="S69" i="18"/>
  <c r="S70" i="18" s="1"/>
  <c r="S71" i="18" s="1"/>
  <c r="S72" i="18" s="1"/>
  <c r="S73" i="18" s="1"/>
  <c r="N33" i="18"/>
  <c r="Q86" i="18" s="1"/>
  <c r="S74" i="18" l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R200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1" i="18"/>
  <c r="M111" i="18" s="1"/>
  <c r="N111" i="18" l="1"/>
  <c r="AM112" i="18"/>
  <c r="AL111" i="18"/>
  <c r="D108" i="50"/>
  <c r="AL110" i="18" l="1"/>
  <c r="AM111" i="18"/>
  <c r="N50" i="18"/>
  <c r="AL109" i="18" l="1"/>
  <c r="AM110" i="18"/>
  <c r="N110" i="18" l="1"/>
  <c r="AL108" i="18"/>
  <c r="AM109" i="18"/>
  <c r="N22" i="33"/>
  <c r="R22" i="33" s="1"/>
  <c r="E22" i="33" l="1"/>
  <c r="AL107" i="18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6" i="18" l="1"/>
  <c r="AL104" i="18"/>
  <c r="AM105" i="18"/>
  <c r="AL205" i="18"/>
  <c r="AM206" i="18"/>
  <c r="AL103" i="18" l="1"/>
  <c r="AM104" i="18"/>
  <c r="AL204" i="18"/>
  <c r="AM205" i="18"/>
  <c r="AL102" i="18" l="1"/>
  <c r="AM103" i="18"/>
  <c r="AL203" i="18"/>
  <c r="AM204" i="18"/>
  <c r="S23" i="18"/>
  <c r="S24" i="18" s="1"/>
  <c r="S25" i="18" s="1"/>
  <c r="S26" i="18" s="1"/>
  <c r="N83" i="18"/>
  <c r="AL101" i="18" l="1"/>
  <c r="AM102" i="18"/>
  <c r="AL202" i="18"/>
  <c r="AM203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202" i="18"/>
  <c r="AL201" i="18"/>
  <c r="D73" i="48"/>
  <c r="N26" i="18"/>
  <c r="M109" i="18" s="1"/>
  <c r="S46" i="18" l="1"/>
  <c r="S47" i="18" s="1"/>
  <c r="AL99" i="18"/>
  <c r="AM100" i="18"/>
  <c r="N109" i="18"/>
  <c r="AL200" i="18"/>
  <c r="AM201" i="18"/>
  <c r="S48" i="18" l="1"/>
  <c r="S49" i="18" s="1"/>
  <c r="AM99" i="18"/>
  <c r="AL98" i="18"/>
  <c r="AL199" i="18"/>
  <c r="AM200" i="18"/>
  <c r="P63" i="18"/>
  <c r="S50" i="18" l="1"/>
  <c r="S51" i="18" s="1"/>
  <c r="S52" i="18" s="1"/>
  <c r="S53" i="18" s="1"/>
  <c r="S54" i="18" s="1"/>
  <c r="S55" i="18" s="1"/>
  <c r="AL97" i="18"/>
  <c r="AM98" i="18"/>
  <c r="AL198" i="18"/>
  <c r="AM199" i="18"/>
  <c r="AM97" i="18" l="1"/>
  <c r="AL96" i="18"/>
  <c r="AL197" i="18"/>
  <c r="AM198" i="18"/>
  <c r="N23" i="33"/>
  <c r="D23" i="33" s="1"/>
  <c r="AM96" i="18" l="1"/>
  <c r="AL95" i="18"/>
  <c r="AL196" i="18"/>
  <c r="AM19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95" i="18"/>
  <c r="AM196" i="18"/>
  <c r="N21" i="18"/>
  <c r="Q59" i="18" s="1"/>
  <c r="AJ245" i="18" l="1"/>
  <c r="AJ246" i="18" s="1"/>
  <c r="R199" i="18"/>
  <c r="AM94" i="18"/>
  <c r="AL93" i="18"/>
  <c r="AL194" i="18"/>
  <c r="AM195" i="18"/>
  <c r="AL92" i="18" l="1"/>
  <c r="AM93" i="18"/>
  <c r="AL193" i="18"/>
  <c r="AM194" i="18"/>
  <c r="S96" i="18"/>
  <c r="S97" i="18" s="1"/>
  <c r="AL91" i="18" l="1"/>
  <c r="AM92" i="18"/>
  <c r="AM193" i="18"/>
  <c r="AL192" i="18"/>
  <c r="AL90" i="18" l="1"/>
  <c r="AM91" i="18"/>
  <c r="AL191" i="18"/>
  <c r="AM192" i="18"/>
  <c r="AM90" i="18" l="1"/>
  <c r="AL89" i="18"/>
  <c r="AM191" i="18"/>
  <c r="AL190" i="18"/>
  <c r="AL88" i="18" l="1"/>
  <c r="AM89" i="18"/>
  <c r="AM190" i="18"/>
  <c r="AL189" i="18"/>
  <c r="B8" i="36"/>
  <c r="AM88" i="18" l="1"/>
  <c r="AL87" i="18"/>
  <c r="AL188" i="18"/>
  <c r="AM189" i="18"/>
  <c r="B10" i="36"/>
  <c r="AL86" i="18" l="1"/>
  <c r="AM87" i="18"/>
  <c r="AL187" i="18"/>
  <c r="AM188" i="18"/>
  <c r="S98" i="18"/>
  <c r="AL85" i="18" l="1"/>
  <c r="AM86" i="18"/>
  <c r="S99" i="18"/>
  <c r="S100" i="18" s="1"/>
  <c r="S101" i="18" s="1"/>
  <c r="S102" i="18" s="1"/>
  <c r="S103" i="18" s="1"/>
  <c r="S104" i="18" s="1"/>
  <c r="AL186" i="18"/>
  <c r="AM187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86" i="18"/>
  <c r="AL185" i="18"/>
  <c r="S105" i="18"/>
  <c r="S106" i="18" s="1"/>
  <c r="S107" i="18" s="1"/>
  <c r="S108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85" i="18"/>
  <c r="AL184" i="18"/>
  <c r="AC15" i="33"/>
  <c r="AL82" i="18" l="1"/>
  <c r="AM83" i="18"/>
  <c r="AM184" i="18"/>
  <c r="AL183" i="18"/>
  <c r="N16" i="33"/>
  <c r="AL81" i="18" l="1"/>
  <c r="AM82" i="18"/>
  <c r="AM183" i="18"/>
  <c r="AL182" i="18"/>
  <c r="AM18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241" i="18" l="1"/>
  <c r="AN241" i="18" s="1"/>
  <c r="AJ244" i="18" s="1"/>
  <c r="AL80" i="18"/>
  <c r="AM80" i="18" s="1"/>
  <c r="AM81" i="18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47" i="18" l="1"/>
  <c r="AJ248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9" i="18" l="1"/>
  <c r="AL77" i="18"/>
  <c r="AM78" i="18"/>
  <c r="N63" i="18"/>
  <c r="G307" i="20" l="1"/>
  <c r="K308" i="20"/>
  <c r="J308" i="20"/>
  <c r="I308" i="20"/>
  <c r="S110" i="18"/>
  <c r="S111" i="18" s="1"/>
  <c r="S112" i="18" s="1"/>
  <c r="S113" i="18" s="1"/>
  <c r="S114" i="18" s="1"/>
  <c r="AL76" i="18"/>
  <c r="AM77" i="18"/>
  <c r="G306" i="20" l="1"/>
  <c r="J307" i="20"/>
  <c r="I307" i="20"/>
  <c r="K307" i="20"/>
  <c r="S115" i="18"/>
  <c r="S116" i="18" s="1"/>
  <c r="S117" i="18" s="1"/>
  <c r="AL75" i="18"/>
  <c r="AM76" i="18"/>
  <c r="N57" i="18"/>
  <c r="Q174" i="18" s="1"/>
  <c r="M108" i="18" l="1"/>
  <c r="N108" i="18" s="1"/>
  <c r="N119" i="18" s="1"/>
  <c r="AJ171" i="18"/>
  <c r="AJ172" i="18" s="1"/>
  <c r="R198" i="18"/>
  <c r="R208" i="18" s="1"/>
  <c r="T269" i="18" s="1"/>
  <c r="S118" i="18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S130" i="18" s="1"/>
  <c r="G305" i="20"/>
  <c r="I306" i="20"/>
  <c r="K306" i="20"/>
  <c r="J306" i="20"/>
  <c r="AL74" i="18"/>
  <c r="AM75" i="18"/>
  <c r="S131" i="18" l="1"/>
  <c r="S132" i="18" s="1"/>
  <c r="S133" i="18" s="1"/>
  <c r="V272" i="18"/>
  <c r="S187" i="18"/>
  <c r="U282" i="18"/>
  <c r="G304" i="20"/>
  <c r="I305" i="20"/>
  <c r="K305" i="20"/>
  <c r="J305" i="20"/>
  <c r="AL73" i="18"/>
  <c r="AM74" i="18"/>
  <c r="N89" i="18"/>
  <c r="V55" i="18" l="1"/>
  <c r="W55" i="18" s="1"/>
  <c r="V84" i="18"/>
  <c r="V83" i="18"/>
  <c r="V54" i="18"/>
  <c r="V53" i="18"/>
  <c r="W53" i="18" s="1"/>
  <c r="V82" i="18"/>
  <c r="V52" i="18"/>
  <c r="X52" i="18" s="1"/>
  <c r="V81" i="18"/>
  <c r="V77" i="18"/>
  <c r="V80" i="18"/>
  <c r="V78" i="18"/>
  <c r="V79" i="18"/>
  <c r="U187" i="18"/>
  <c r="V187" i="18" s="1"/>
  <c r="V76" i="18"/>
  <c r="X76" i="18" s="1"/>
  <c r="V51" i="18"/>
  <c r="V50" i="18"/>
  <c r="X50" i="18" s="1"/>
  <c r="V75" i="18"/>
  <c r="V74" i="18"/>
  <c r="V49" i="18"/>
  <c r="V48" i="18"/>
  <c r="V73" i="18"/>
  <c r="V47" i="18"/>
  <c r="V46" i="18"/>
  <c r="V45" i="18"/>
  <c r="V44" i="18"/>
  <c r="V43" i="18"/>
  <c r="V39" i="18"/>
  <c r="X39" i="18" s="1"/>
  <c r="V42" i="18"/>
  <c r="V41" i="18"/>
  <c r="V40" i="18"/>
  <c r="V38" i="18"/>
  <c r="V37" i="18"/>
  <c r="S134" i="18"/>
  <c r="S135" i="18" s="1"/>
  <c r="V33" i="18"/>
  <c r="W33" i="18" s="1"/>
  <c r="V34" i="18"/>
  <c r="V35" i="18"/>
  <c r="V58" i="18"/>
  <c r="V36" i="18"/>
  <c r="V32" i="18"/>
  <c r="X32" i="18" s="1"/>
  <c r="V72" i="18"/>
  <c r="G303" i="20"/>
  <c r="K304" i="20"/>
  <c r="I304" i="20"/>
  <c r="J304" i="20"/>
  <c r="V282" i="18"/>
  <c r="V31" i="18"/>
  <c r="W31" i="18" s="1"/>
  <c r="V71" i="18"/>
  <c r="V133" i="18"/>
  <c r="V131" i="18"/>
  <c r="V130" i="18"/>
  <c r="V132" i="18"/>
  <c r="V127" i="18"/>
  <c r="W127" i="18" s="1"/>
  <c r="V129" i="18"/>
  <c r="V128" i="18"/>
  <c r="V126" i="18"/>
  <c r="V125" i="18"/>
  <c r="V30" i="18"/>
  <c r="W30" i="18" s="1"/>
  <c r="V70" i="18"/>
  <c r="V123" i="18"/>
  <c r="V124" i="18"/>
  <c r="V121" i="18"/>
  <c r="V120" i="18"/>
  <c r="V119" i="18"/>
  <c r="V118" i="18"/>
  <c r="V116" i="18"/>
  <c r="V117" i="18"/>
  <c r="V122" i="18"/>
  <c r="V173" i="18"/>
  <c r="V114" i="18"/>
  <c r="W114" i="18" s="1"/>
  <c r="V115" i="18"/>
  <c r="V29" i="18"/>
  <c r="W29" i="18" s="1"/>
  <c r="V69" i="18"/>
  <c r="V112" i="18"/>
  <c r="W112" i="18" s="1"/>
  <c r="V113" i="18"/>
  <c r="V109" i="18"/>
  <c r="W109" i="18" s="1"/>
  <c r="V111" i="18"/>
  <c r="V110" i="18"/>
  <c r="V108" i="18"/>
  <c r="W108" i="18" s="1"/>
  <c r="V107" i="18"/>
  <c r="V28" i="18"/>
  <c r="V27" i="18"/>
  <c r="W27" i="18" s="1"/>
  <c r="V68" i="18"/>
  <c r="V26" i="18"/>
  <c r="X26" i="18" s="1"/>
  <c r="V67" i="18"/>
  <c r="V85" i="18"/>
  <c r="V66" i="18"/>
  <c r="V106" i="18"/>
  <c r="V65" i="18"/>
  <c r="V105" i="18"/>
  <c r="V25" i="18"/>
  <c r="V104" i="18"/>
  <c r="V24" i="18"/>
  <c r="V22" i="18"/>
  <c r="V23" i="18"/>
  <c r="W23" i="18" s="1"/>
  <c r="V103" i="18"/>
  <c r="V102" i="18"/>
  <c r="V101" i="18"/>
  <c r="V21" i="18"/>
  <c r="V100" i="18"/>
  <c r="V99" i="18"/>
  <c r="V97" i="18"/>
  <c r="V98" i="18"/>
  <c r="V94" i="18"/>
  <c r="V20" i="18"/>
  <c r="V95" i="18"/>
  <c r="V96" i="18"/>
  <c r="AL72" i="18"/>
  <c r="AM73" i="18"/>
  <c r="X55" i="18" l="1"/>
  <c r="W84" i="18"/>
  <c r="X84" i="18"/>
  <c r="W83" i="18"/>
  <c r="X83" i="18"/>
  <c r="W54" i="18"/>
  <c r="X54" i="18"/>
  <c r="X53" i="18"/>
  <c r="W82" i="18"/>
  <c r="X82" i="18"/>
  <c r="W52" i="18"/>
  <c r="W81" i="18"/>
  <c r="X81" i="18"/>
  <c r="W78" i="18"/>
  <c r="X78" i="18"/>
  <c r="W80" i="18"/>
  <c r="X80" i="18"/>
  <c r="W79" i="18"/>
  <c r="X79" i="18"/>
  <c r="W77" i="18"/>
  <c r="X77" i="18"/>
  <c r="W76" i="18"/>
  <c r="W51" i="18"/>
  <c r="X51" i="18"/>
  <c r="W50" i="18"/>
  <c r="X75" i="18"/>
  <c r="W75" i="18"/>
  <c r="W74" i="18"/>
  <c r="X74" i="18"/>
  <c r="X48" i="18"/>
  <c r="W48" i="18"/>
  <c r="W49" i="18"/>
  <c r="X49" i="18"/>
  <c r="W73" i="18"/>
  <c r="X73" i="18"/>
  <c r="X46" i="18"/>
  <c r="W46" i="18"/>
  <c r="W47" i="18"/>
  <c r="X47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4" i="18"/>
  <c r="X134" i="18" s="1"/>
  <c r="S136" i="18"/>
  <c r="V135" i="18"/>
  <c r="W135" i="18" s="1"/>
  <c r="X33" i="18"/>
  <c r="W58" i="18"/>
  <c r="X58" i="18"/>
  <c r="W34" i="18"/>
  <c r="X34" i="18"/>
  <c r="W35" i="18"/>
  <c r="X35" i="18"/>
  <c r="X36" i="18"/>
  <c r="W36" i="18"/>
  <c r="W32" i="18"/>
  <c r="X72" i="18"/>
  <c r="W72" i="18"/>
  <c r="S186" i="18"/>
  <c r="G302" i="20"/>
  <c r="K303" i="20"/>
  <c r="I303" i="20"/>
  <c r="J303" i="20"/>
  <c r="X31" i="18"/>
  <c r="W71" i="18"/>
  <c r="X71" i="18"/>
  <c r="X127" i="18"/>
  <c r="W130" i="18"/>
  <c r="X130" i="18"/>
  <c r="W131" i="18"/>
  <c r="X131" i="18"/>
  <c r="X132" i="18"/>
  <c r="W132" i="18"/>
  <c r="W133" i="18"/>
  <c r="X133" i="18"/>
  <c r="W128" i="18"/>
  <c r="X128" i="18"/>
  <c r="W129" i="18"/>
  <c r="X129" i="18"/>
  <c r="X30" i="18"/>
  <c r="W125" i="18"/>
  <c r="X125" i="18"/>
  <c r="W126" i="18"/>
  <c r="X126" i="18"/>
  <c r="W70" i="18"/>
  <c r="X70" i="18"/>
  <c r="W124" i="18"/>
  <c r="X124" i="18"/>
  <c r="W123" i="18"/>
  <c r="X123" i="18"/>
  <c r="X120" i="18"/>
  <c r="W120" i="18"/>
  <c r="W121" i="18"/>
  <c r="X121" i="18"/>
  <c r="W118" i="18"/>
  <c r="X118" i="18"/>
  <c r="W119" i="18"/>
  <c r="X119" i="18"/>
  <c r="W173" i="18"/>
  <c r="X173" i="18"/>
  <c r="W117" i="18"/>
  <c r="X117" i="18"/>
  <c r="X122" i="18"/>
  <c r="W122" i="18"/>
  <c r="W116" i="18"/>
  <c r="X116" i="18"/>
  <c r="X114" i="18"/>
  <c r="W115" i="18"/>
  <c r="X115" i="18"/>
  <c r="X29" i="18"/>
  <c r="W69" i="18"/>
  <c r="X69" i="18"/>
  <c r="X112" i="18"/>
  <c r="W113" i="18"/>
  <c r="X113" i="18"/>
  <c r="X109" i="18"/>
  <c r="W110" i="18"/>
  <c r="X110" i="18"/>
  <c r="W111" i="18"/>
  <c r="X111" i="18"/>
  <c r="X108" i="18"/>
  <c r="W107" i="18"/>
  <c r="X107" i="18"/>
  <c r="W28" i="18"/>
  <c r="X28" i="18"/>
  <c r="X27" i="18"/>
  <c r="W68" i="18"/>
  <c r="X68" i="18"/>
  <c r="W26" i="18"/>
  <c r="W67" i="18"/>
  <c r="X67" i="18"/>
  <c r="W66" i="18"/>
  <c r="X66" i="18"/>
  <c r="W85" i="18"/>
  <c r="X85" i="18"/>
  <c r="S185" i="18"/>
  <c r="S184" i="18"/>
  <c r="U184" i="18" s="1"/>
  <c r="W106" i="18"/>
  <c r="X106" i="18"/>
  <c r="X65" i="18"/>
  <c r="W65" i="18"/>
  <c r="W99" i="18"/>
  <c r="X99" i="18"/>
  <c r="W101" i="18"/>
  <c r="X101" i="18"/>
  <c r="W104" i="18"/>
  <c r="X104" i="18"/>
  <c r="W96" i="18"/>
  <c r="X96" i="18"/>
  <c r="W102" i="18"/>
  <c r="X102" i="18"/>
  <c r="X23" i="18"/>
  <c r="W25" i="18"/>
  <c r="X25" i="18"/>
  <c r="W20" i="18"/>
  <c r="X20" i="18"/>
  <c r="W98" i="18"/>
  <c r="X98" i="18"/>
  <c r="W22" i="18"/>
  <c r="X22" i="18"/>
  <c r="X105" i="18"/>
  <c r="W105" i="18"/>
  <c r="W95" i="18"/>
  <c r="X95" i="18"/>
  <c r="W94" i="18"/>
  <c r="X94" i="18"/>
  <c r="W100" i="18"/>
  <c r="X100" i="18"/>
  <c r="W97" i="18"/>
  <c r="X97" i="18"/>
  <c r="X21" i="18"/>
  <c r="W21" i="18"/>
  <c r="W103" i="18"/>
  <c r="X103" i="18"/>
  <c r="W24" i="18"/>
  <c r="X24" i="18"/>
  <c r="AL71" i="18"/>
  <c r="AM72" i="18"/>
  <c r="U186" i="18" l="1"/>
  <c r="V186" i="18" s="1"/>
  <c r="N36" i="18"/>
  <c r="L21" i="18" s="1"/>
  <c r="U185" i="18"/>
  <c r="V185" i="18" s="1"/>
  <c r="W134" i="18"/>
  <c r="X135" i="18"/>
  <c r="S137" i="18"/>
  <c r="V136" i="18"/>
  <c r="N66" i="18"/>
  <c r="G301" i="20"/>
  <c r="I302" i="20"/>
  <c r="K302" i="20"/>
  <c r="J302" i="20"/>
  <c r="AL70" i="18"/>
  <c r="AM71" i="18"/>
  <c r="X136" i="18" l="1"/>
  <c r="W136" i="18"/>
  <c r="S138" i="18"/>
  <c r="V13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7" i="18" l="1"/>
  <c r="X137" i="18"/>
  <c r="S139" i="18"/>
  <c r="S140" i="18" s="1"/>
  <c r="V138" i="18"/>
  <c r="G299" i="20"/>
  <c r="I300" i="20"/>
  <c r="K300" i="20"/>
  <c r="J300" i="20"/>
  <c r="AL68" i="18"/>
  <c r="AM69" i="18"/>
  <c r="N2" i="33"/>
  <c r="W138" i="18" l="1"/>
  <c r="X138" i="18"/>
  <c r="V13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9" i="18" l="1"/>
  <c r="W139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62" i="14"/>
  <c r="E61" i="14" s="1"/>
  <c r="B63" i="14"/>
  <c r="G61" i="14" l="1"/>
  <c r="E60" i="14"/>
  <c r="S141" i="18"/>
  <c r="V140" i="18"/>
  <c r="I297" i="20"/>
  <c r="K297" i="20"/>
  <c r="J297" i="20"/>
  <c r="G296" i="20"/>
  <c r="AL65" i="18"/>
  <c r="AM66" i="18"/>
  <c r="E59" i="14" l="1"/>
  <c r="G60" i="14"/>
  <c r="X140" i="18"/>
  <c r="W140" i="18"/>
  <c r="S142" i="18"/>
  <c r="V141" i="18"/>
  <c r="G295" i="20"/>
  <c r="K296" i="20"/>
  <c r="I296" i="20"/>
  <c r="J296" i="20"/>
  <c r="AL64" i="18"/>
  <c r="AM65" i="18"/>
  <c r="E58" i="14" l="1"/>
  <c r="G59" i="14"/>
  <c r="W141" i="18"/>
  <c r="X141" i="18"/>
  <c r="S143" i="18"/>
  <c r="V142" i="18"/>
  <c r="G294" i="20"/>
  <c r="K295" i="20"/>
  <c r="J295" i="20"/>
  <c r="I295" i="20"/>
  <c r="AM64" i="18"/>
  <c r="AL63" i="18"/>
  <c r="G58" i="14" l="1"/>
  <c r="E57" i="14"/>
  <c r="W142" i="18"/>
  <c r="X142" i="18"/>
  <c r="V143" i="18"/>
  <c r="S144" i="18"/>
  <c r="G293" i="20"/>
  <c r="I294" i="20"/>
  <c r="J294" i="20"/>
  <c r="K294" i="20"/>
  <c r="AL62" i="18"/>
  <c r="AM63" i="18"/>
  <c r="G57" i="14" l="1"/>
  <c r="E56" i="14"/>
  <c r="S145" i="18"/>
  <c r="S146" i="18" s="1"/>
  <c r="V144" i="18"/>
  <c r="W143" i="18"/>
  <c r="X143" i="18"/>
  <c r="G292" i="20"/>
  <c r="K293" i="20"/>
  <c r="J293" i="20"/>
  <c r="I293" i="20"/>
  <c r="AL61" i="18"/>
  <c r="AM62" i="18"/>
  <c r="E55" i="14" l="1"/>
  <c r="G56" i="14"/>
  <c r="V145" i="18"/>
  <c r="X145" i="18" s="1"/>
  <c r="X144" i="18"/>
  <c r="W144" i="18"/>
  <c r="J292" i="20"/>
  <c r="I292" i="20"/>
  <c r="G291" i="20"/>
  <c r="K292" i="20"/>
  <c r="AM61" i="18"/>
  <c r="AL60" i="18"/>
  <c r="E54" i="14" l="1"/>
  <c r="G55" i="14"/>
  <c r="W145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53" i="14" l="1"/>
  <c r="G54" i="14"/>
  <c r="V146" i="18"/>
  <c r="W146" i="18" s="1"/>
  <c r="S147" i="18"/>
  <c r="J290" i="20"/>
  <c r="G289" i="20"/>
  <c r="I290" i="20"/>
  <c r="K290" i="20"/>
  <c r="AM59" i="18"/>
  <c r="AL58" i="18"/>
  <c r="G53" i="14" l="1"/>
  <c r="E52" i="14"/>
  <c r="X146" i="18"/>
  <c r="S148" i="18"/>
  <c r="S149" i="18" s="1"/>
  <c r="S150" i="18" s="1"/>
  <c r="S151" i="18" s="1"/>
  <c r="S152" i="18" s="1"/>
  <c r="V147" i="18"/>
  <c r="G288" i="20"/>
  <c r="K289" i="20"/>
  <c r="J289" i="20"/>
  <c r="I289" i="20"/>
  <c r="AL57" i="18"/>
  <c r="AM58" i="18"/>
  <c r="E51" i="14" l="1"/>
  <c r="G52" i="14"/>
  <c r="V150" i="18"/>
  <c r="W147" i="18"/>
  <c r="X147" i="18"/>
  <c r="V148" i="18"/>
  <c r="J288" i="20"/>
  <c r="K288" i="20"/>
  <c r="G287" i="20"/>
  <c r="I288" i="20"/>
  <c r="AL56" i="18"/>
  <c r="AM57" i="18"/>
  <c r="B105" i="13"/>
  <c r="B196" i="13" s="1"/>
  <c r="G51" i="14" l="1"/>
  <c r="E50" i="14"/>
  <c r="W150" i="18"/>
  <c r="X150" i="18"/>
  <c r="W148" i="18"/>
  <c r="X148" i="18"/>
  <c r="V149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49" i="14" l="1"/>
  <c r="G50" i="14"/>
  <c r="W149" i="18"/>
  <c r="X149" i="18"/>
  <c r="G285" i="20"/>
  <c r="J286" i="20"/>
  <c r="I286" i="20"/>
  <c r="K286" i="20"/>
  <c r="AM55" i="18"/>
  <c r="AL54" i="18"/>
  <c r="G49" i="14" l="1"/>
  <c r="E48" i="14"/>
  <c r="V151" i="18"/>
  <c r="G284" i="20"/>
  <c r="K285" i="20"/>
  <c r="J285" i="20"/>
  <c r="I285" i="20"/>
  <c r="AL53" i="18"/>
  <c r="AM54" i="18"/>
  <c r="G48" i="14" l="1"/>
  <c r="E47" i="14"/>
  <c r="W151" i="18"/>
  <c r="X151" i="18"/>
  <c r="G283" i="20"/>
  <c r="K284" i="20"/>
  <c r="I284" i="20"/>
  <c r="J284" i="20"/>
  <c r="AM53" i="18"/>
  <c r="AL52" i="18"/>
  <c r="D64" i="43"/>
  <c r="E46" i="14" l="1"/>
  <c r="G47" i="14"/>
  <c r="I283" i="20"/>
  <c r="J283" i="20"/>
  <c r="K283" i="20"/>
  <c r="G282" i="20"/>
  <c r="AL51" i="18"/>
  <c r="AM52" i="18"/>
  <c r="E252" i="15"/>
  <c r="G46" i="14" l="1"/>
  <c r="E45" i="14"/>
  <c r="J282" i="20"/>
  <c r="I282" i="20"/>
  <c r="K282" i="20"/>
  <c r="G281" i="20"/>
  <c r="AL50" i="18"/>
  <c r="AM51" i="18"/>
  <c r="E251" i="15"/>
  <c r="E250" i="15"/>
  <c r="D171" i="20"/>
  <c r="E44" i="14" l="1"/>
  <c r="G45" i="14"/>
  <c r="V152" i="18"/>
  <c r="W152" i="18" s="1"/>
  <c r="S153" i="18"/>
  <c r="S154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62" i="14"/>
  <c r="G62" i="14" s="1"/>
  <c r="F2" i="14"/>
  <c r="E249" i="15"/>
  <c r="D170" i="20"/>
  <c r="E43" i="14" l="1"/>
  <c r="G44" i="14"/>
  <c r="S155" i="18"/>
  <c r="S156" i="18" s="1"/>
  <c r="V154" i="18"/>
  <c r="X152" i="18"/>
  <c r="V153" i="18"/>
  <c r="K280" i="20"/>
  <c r="G279" i="20"/>
  <c r="J280" i="20"/>
  <c r="I280" i="20"/>
  <c r="AL48" i="18"/>
  <c r="AM49" i="18"/>
  <c r="E248" i="15"/>
  <c r="G43" i="14" l="1"/>
  <c r="E42" i="14"/>
  <c r="V155" i="18"/>
  <c r="X155" i="18" s="1"/>
  <c r="W154" i="18"/>
  <c r="X154" i="18"/>
  <c r="W153" i="18"/>
  <c r="X153" i="18"/>
  <c r="J279" i="20"/>
  <c r="I279" i="20"/>
  <c r="G278" i="20"/>
  <c r="K279" i="20"/>
  <c r="AL47" i="18"/>
  <c r="AM48" i="18"/>
  <c r="E247" i="15"/>
  <c r="E246" i="15"/>
  <c r="G42" i="14" l="1"/>
  <c r="E41" i="14"/>
  <c r="W155" i="18"/>
  <c r="J278" i="20"/>
  <c r="I278" i="20"/>
  <c r="G277" i="20"/>
  <c r="K278" i="20"/>
  <c r="AL46" i="18"/>
  <c r="AM47" i="18"/>
  <c r="E245" i="15"/>
  <c r="G41" i="14" l="1"/>
  <c r="E40" i="14"/>
  <c r="J277" i="20"/>
  <c r="I277" i="20"/>
  <c r="G276" i="20"/>
  <c r="K277" i="20"/>
  <c r="AM46" i="18"/>
  <c r="AL45" i="18"/>
  <c r="N15" i="33"/>
  <c r="E244" i="15"/>
  <c r="G40" i="14" l="1"/>
  <c r="E39" i="14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G39" i="14" l="1"/>
  <c r="E38" i="14"/>
  <c r="S157" i="18"/>
  <c r="S158" i="18" s="1"/>
  <c r="V156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E37" i="14" l="1"/>
  <c r="G38" i="14"/>
  <c r="V157" i="18"/>
  <c r="X157" i="18" s="1"/>
  <c r="W156" i="18"/>
  <c r="X156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H8" i="43"/>
  <c r="G8" i="43"/>
  <c r="D8" i="43"/>
  <c r="I8" i="43" s="1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G37" i="14" l="1"/>
  <c r="E36" i="14"/>
  <c r="W157" i="18"/>
  <c r="G272" i="20"/>
  <c r="J273" i="20"/>
  <c r="K273" i="20"/>
  <c r="I273" i="20"/>
  <c r="AL41" i="18"/>
  <c r="AM42" i="18"/>
  <c r="G36" i="14" l="1"/>
  <c r="E35" i="14"/>
  <c r="V158" i="18"/>
  <c r="W158" i="18" s="1"/>
  <c r="S159" i="18"/>
  <c r="J272" i="20"/>
  <c r="K272" i="20"/>
  <c r="I272" i="20"/>
  <c r="G271" i="20"/>
  <c r="AM41" i="18"/>
  <c r="AL40" i="18"/>
  <c r="G35" i="14" l="1"/>
  <c r="E34" i="14"/>
  <c r="V159" i="18"/>
  <c r="W159" i="18" s="1"/>
  <c r="S160" i="18"/>
  <c r="X158" i="18"/>
  <c r="G270" i="20"/>
  <c r="I271" i="20"/>
  <c r="J271" i="20"/>
  <c r="K271" i="20"/>
  <c r="AL39" i="18"/>
  <c r="AM40" i="18"/>
  <c r="E243" i="15"/>
  <c r="G34" i="14" l="1"/>
  <c r="E33" i="14"/>
  <c r="V160" i="18"/>
  <c r="W160" i="18" s="1"/>
  <c r="S161" i="18"/>
  <c r="X159" i="18"/>
  <c r="G269" i="20"/>
  <c r="J270" i="20"/>
  <c r="K270" i="20"/>
  <c r="I270" i="20"/>
  <c r="AM39" i="18"/>
  <c r="AL38" i="18"/>
  <c r="E242" i="15"/>
  <c r="E32" i="14" l="1"/>
  <c r="G33" i="14"/>
  <c r="X160" i="18"/>
  <c r="S162" i="18"/>
  <c r="V161" i="18"/>
  <c r="I269" i="20"/>
  <c r="K269" i="20"/>
  <c r="J269" i="20"/>
  <c r="G268" i="20"/>
  <c r="AL37" i="18"/>
  <c r="AM38" i="18"/>
  <c r="J57" i="33"/>
  <c r="J55" i="33"/>
  <c r="J54" i="33"/>
  <c r="G32" i="14" l="1"/>
  <c r="E31" i="14"/>
  <c r="W161" i="18"/>
  <c r="X161" i="18"/>
  <c r="S163" i="18"/>
  <c r="V162" i="18"/>
  <c r="J268" i="20"/>
  <c r="I268" i="20"/>
  <c r="G267" i="20"/>
  <c r="K268" i="20"/>
  <c r="AL36" i="18"/>
  <c r="AM37" i="18"/>
  <c r="L57" i="33"/>
  <c r="E241" i="15"/>
  <c r="G31" i="14" l="1"/>
  <c r="E30" i="14"/>
  <c r="S164" i="18"/>
  <c r="V163" i="18"/>
  <c r="W162" i="18"/>
  <c r="X162" i="18"/>
  <c r="I267" i="20"/>
  <c r="K267" i="20"/>
  <c r="G266" i="20"/>
  <c r="J267" i="20"/>
  <c r="AM36" i="18"/>
  <c r="AL35" i="18"/>
  <c r="D168" i="20"/>
  <c r="E29" i="14" l="1"/>
  <c r="G30" i="14"/>
  <c r="V164" i="18"/>
  <c r="W164" i="18" s="1"/>
  <c r="S165" i="18"/>
  <c r="W163" i="18"/>
  <c r="X163" i="18"/>
  <c r="J266" i="20"/>
  <c r="G265" i="20"/>
  <c r="K266" i="20"/>
  <c r="I266" i="20"/>
  <c r="AL34" i="18"/>
  <c r="AM35" i="18"/>
  <c r="E240" i="15"/>
  <c r="E239" i="15"/>
  <c r="V165" i="18" l="1"/>
  <c r="W165" i="18" s="1"/>
  <c r="S166" i="18"/>
  <c r="X164" i="18"/>
  <c r="G29" i="14"/>
  <c r="E28" i="14"/>
  <c r="K265" i="20"/>
  <c r="G264" i="20"/>
  <c r="J265" i="20"/>
  <c r="I265" i="20"/>
  <c r="D259" i="15"/>
  <c r="AL33" i="18"/>
  <c r="AM34" i="18"/>
  <c r="V166" i="18" l="1"/>
  <c r="X166" i="18" s="1"/>
  <c r="S167" i="18"/>
  <c r="X165" i="18"/>
  <c r="E27" i="14"/>
  <c r="G28" i="14"/>
  <c r="G263" i="20"/>
  <c r="K264" i="20"/>
  <c r="J264" i="20"/>
  <c r="I264" i="20"/>
  <c r="D258" i="15"/>
  <c r="F259" i="15"/>
  <c r="AL32" i="18"/>
  <c r="AM33" i="18"/>
  <c r="W166" i="18" l="1"/>
  <c r="V167" i="18"/>
  <c r="W167" i="18" s="1"/>
  <c r="S168" i="18"/>
  <c r="S169" i="18" s="1"/>
  <c r="E26" i="14"/>
  <c r="G27" i="14"/>
  <c r="I263" i="20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X167" i="18" l="1"/>
  <c r="V168" i="18"/>
  <c r="X168" i="18" s="1"/>
  <c r="E25" i="14"/>
  <c r="G26" i="14"/>
  <c r="G261" i="20"/>
  <c r="I262" i="20"/>
  <c r="J262" i="20"/>
  <c r="K262" i="20"/>
  <c r="D256" i="15"/>
  <c r="F257" i="15"/>
  <c r="AL30" i="18"/>
  <c r="AM31" i="18"/>
  <c r="L60" i="32"/>
  <c r="L48" i="32"/>
  <c r="W168" i="18" l="1"/>
  <c r="E24" i="14"/>
  <c r="G25" i="14"/>
  <c r="J261" i="20"/>
  <c r="I261" i="20"/>
  <c r="K261" i="20"/>
  <c r="G260" i="20"/>
  <c r="D255" i="15"/>
  <c r="F256" i="15"/>
  <c r="AL29" i="18"/>
  <c r="AM30" i="18"/>
  <c r="V169" i="18" l="1"/>
  <c r="X169" i="18" s="1"/>
  <c r="S170" i="18"/>
  <c r="G24" i="14"/>
  <c r="E23" i="14"/>
  <c r="G259" i="20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V170" i="18" l="1"/>
  <c r="S171" i="18"/>
  <c r="W169" i="18"/>
  <c r="W170" i="18"/>
  <c r="X170" i="18"/>
  <c r="E22" i="14"/>
  <c r="G23" i="14"/>
  <c r="G258" i="20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V171" i="18" l="1"/>
  <c r="W171" i="18" s="1"/>
  <c r="S172" i="18"/>
  <c r="V172" i="18" s="1"/>
  <c r="X171" i="18"/>
  <c r="E21" i="14"/>
  <c r="E20" i="14" s="1"/>
  <c r="E19" i="14" s="1"/>
  <c r="E18" i="14" s="1"/>
  <c r="G22" i="14"/>
  <c r="G257" i="20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W172" i="18" l="1"/>
  <c r="X172" i="18"/>
  <c r="G256" i="20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W1790" i="41" s="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S2126" i="41"/>
  <c r="V2126" i="41" s="1"/>
  <c r="S2127" i="41"/>
  <c r="V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S2132" i="41"/>
  <c r="V2132" i="41" s="1"/>
  <c r="X2132" i="41" s="1"/>
  <c r="S2133" i="41"/>
  <c r="V2133" i="41" s="1"/>
  <c r="S2134" i="41"/>
  <c r="V2134" i="41" s="1"/>
  <c r="S2135" i="41"/>
  <c r="V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S2140" i="41"/>
  <c r="V2140" i="41" s="1"/>
  <c r="X2140" i="41" s="1"/>
  <c r="S2141" i="41"/>
  <c r="V2141" i="41" s="1"/>
  <c r="S2142" i="41"/>
  <c r="V2142" i="41" s="1"/>
  <c r="S2143" i="41"/>
  <c r="V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S2148" i="41"/>
  <c r="V2148" i="41" s="1"/>
  <c r="X2148" i="41" s="1"/>
  <c r="S2149" i="41"/>
  <c r="V2149" i="41" s="1"/>
  <c r="S2150" i="41"/>
  <c r="V2150" i="41" s="1"/>
  <c r="S2151" i="41"/>
  <c r="V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S2156" i="41"/>
  <c r="V2156" i="41" s="1"/>
  <c r="X2156" i="41" s="1"/>
  <c r="S2157" i="41"/>
  <c r="V2157" i="41" s="1"/>
  <c r="S2158" i="41"/>
  <c r="V2158" i="41" s="1"/>
  <c r="S2159" i="41"/>
  <c r="V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S2164" i="41"/>
  <c r="V2164" i="41" s="1"/>
  <c r="X2164" i="41" s="1"/>
  <c r="S2165" i="41"/>
  <c r="V2165" i="41" s="1"/>
  <c r="S2166" i="41"/>
  <c r="V2166" i="41" s="1"/>
  <c r="S2167" i="41"/>
  <c r="V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S2172" i="41"/>
  <c r="V2172" i="41" s="1"/>
  <c r="X2172" i="41" s="1"/>
  <c r="S2173" i="41"/>
  <c r="V2173" i="41" s="1"/>
  <c r="S2174" i="41"/>
  <c r="V2174" i="41" s="1"/>
  <c r="S2175" i="41"/>
  <c r="V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S2180" i="41"/>
  <c r="V2180" i="41" s="1"/>
  <c r="X2180" i="41" s="1"/>
  <c r="S2181" i="41"/>
  <c r="V2181" i="41" s="1"/>
  <c r="S2182" i="41"/>
  <c r="V2182" i="41" s="1"/>
  <c r="S2183" i="41"/>
  <c r="V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S2188" i="41"/>
  <c r="V2188" i="41" s="1"/>
  <c r="X2188" i="41" s="1"/>
  <c r="S2189" i="41"/>
  <c r="V2189" i="41" s="1"/>
  <c r="S2190" i="41"/>
  <c r="V2190" i="41" s="1"/>
  <c r="X2190" i="41" s="1"/>
  <c r="S2191" i="41"/>
  <c r="V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S2196" i="41"/>
  <c r="V2196" i="41" s="1"/>
  <c r="X2196" i="41" s="1"/>
  <c r="S2197" i="41"/>
  <c r="V2197" i="41" s="1"/>
  <c r="S2198" i="41"/>
  <c r="V2198" i="41" s="1"/>
  <c r="X2198" i="41" s="1"/>
  <c r="S2199" i="41"/>
  <c r="V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S2204" i="41"/>
  <c r="V2204" i="41" s="1"/>
  <c r="X2204" i="41" s="1"/>
  <c r="S2205" i="41"/>
  <c r="V2205" i="41" s="1"/>
  <c r="S2206" i="41"/>
  <c r="V2206" i="41" s="1"/>
  <c r="X2206" i="41" s="1"/>
  <c r="S2207" i="41"/>
  <c r="V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S2212" i="41"/>
  <c r="V2212" i="41" s="1"/>
  <c r="X2212" i="41" s="1"/>
  <c r="S2213" i="41"/>
  <c r="V2213" i="41" s="1"/>
  <c r="S2214" i="41"/>
  <c r="V2214" i="41" s="1"/>
  <c r="X2214" i="41" s="1"/>
  <c r="S2215" i="41"/>
  <c r="V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S2220" i="41"/>
  <c r="V2220" i="41" s="1"/>
  <c r="X2220" i="41" s="1"/>
  <c r="S2221" i="41"/>
  <c r="V2221" i="41" s="1"/>
  <c r="S2222" i="41"/>
  <c r="V2222" i="41" s="1"/>
  <c r="X2222" i="41" s="1"/>
  <c r="S2223" i="41"/>
  <c r="V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S2228" i="41"/>
  <c r="V2228" i="41" s="1"/>
  <c r="X2228" i="41" s="1"/>
  <c r="S2229" i="41"/>
  <c r="V2229" i="41" s="1"/>
  <c r="S2230" i="41"/>
  <c r="V2230" i="41" s="1"/>
  <c r="X2230" i="41" s="1"/>
  <c r="S2231" i="41"/>
  <c r="V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S2236" i="41"/>
  <c r="V2236" i="41" s="1"/>
  <c r="X2236" i="41" s="1"/>
  <c r="S2237" i="41"/>
  <c r="V2237" i="41" s="1"/>
  <c r="S2238" i="41"/>
  <c r="V2238" i="41" s="1"/>
  <c r="X2238" i="41" s="1"/>
  <c r="S2239" i="41"/>
  <c r="V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S2244" i="41"/>
  <c r="V2244" i="41" s="1"/>
  <c r="X2244" i="41" s="1"/>
  <c r="S2245" i="41"/>
  <c r="V2245" i="41" s="1"/>
  <c r="S2246" i="41"/>
  <c r="V2246" i="41" s="1"/>
  <c r="X2246" i="41" s="1"/>
  <c r="S2247" i="41"/>
  <c r="V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S2252" i="41"/>
  <c r="V2252" i="41" s="1"/>
  <c r="X2252" i="41" s="1"/>
  <c r="S2253" i="41"/>
  <c r="V2253" i="41" s="1"/>
  <c r="S2254" i="41"/>
  <c r="V2254" i="41" s="1"/>
  <c r="X2254" i="41" s="1"/>
  <c r="S2255" i="41"/>
  <c r="V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S2260" i="41"/>
  <c r="V2260" i="41" s="1"/>
  <c r="X2260" i="41" s="1"/>
  <c r="S2261" i="41"/>
  <c r="V2261" i="41" s="1"/>
  <c r="S2262" i="41"/>
  <c r="V2262" i="41" s="1"/>
  <c r="X2262" i="41" s="1"/>
  <c r="S2263" i="41"/>
  <c r="V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S2268" i="41"/>
  <c r="V2268" i="41" s="1"/>
  <c r="X2268" i="41" s="1"/>
  <c r="S2269" i="41"/>
  <c r="V2269" i="41" s="1"/>
  <c r="S2270" i="41"/>
  <c r="V2270" i="41" s="1"/>
  <c r="X2270" i="41" s="1"/>
  <c r="S2271" i="41"/>
  <c r="V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S2276" i="41"/>
  <c r="V2276" i="41" s="1"/>
  <c r="X2276" i="41" s="1"/>
  <c r="S2277" i="41"/>
  <c r="V2277" i="41" s="1"/>
  <c r="S2278" i="41"/>
  <c r="V2278" i="41" s="1"/>
  <c r="X2278" i="41" s="1"/>
  <c r="S2279" i="41"/>
  <c r="V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S2284" i="41"/>
  <c r="V2284" i="41" s="1"/>
  <c r="X2284" i="41" s="1"/>
  <c r="S2285" i="41"/>
  <c r="V2285" i="41" s="1"/>
  <c r="S2286" i="41"/>
  <c r="V2286" i="41" s="1"/>
  <c r="X2286" i="41" s="1"/>
  <c r="S2287" i="41"/>
  <c r="V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S2292" i="41"/>
  <c r="V2292" i="41" s="1"/>
  <c r="X2292" i="41" s="1"/>
  <c r="S2293" i="41"/>
  <c r="V2293" i="41" s="1"/>
  <c r="S2294" i="41"/>
  <c r="V2294" i="41" s="1"/>
  <c r="X2294" i="41" s="1"/>
  <c r="S2295" i="41"/>
  <c r="V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S2300" i="41"/>
  <c r="V2300" i="41" s="1"/>
  <c r="X2300" i="41" s="1"/>
  <c r="S2301" i="41"/>
  <c r="V2301" i="41" s="1"/>
  <c r="S2302" i="41"/>
  <c r="V2302" i="41" s="1"/>
  <c r="X2302" i="41" s="1"/>
  <c r="S2303" i="41"/>
  <c r="V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S2308" i="41"/>
  <c r="V2308" i="41" s="1"/>
  <c r="X2308" i="41" s="1"/>
  <c r="S2309" i="41"/>
  <c r="V2309" i="41" s="1"/>
  <c r="S2310" i="41"/>
  <c r="V2310" i="41" s="1"/>
  <c r="X2310" i="41" s="1"/>
  <c r="S2311" i="41"/>
  <c r="V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S2316" i="41"/>
  <c r="V2316" i="41" s="1"/>
  <c r="X2316" i="41" s="1"/>
  <c r="S2317" i="41"/>
  <c r="V2317" i="41" s="1"/>
  <c r="S2318" i="41"/>
  <c r="V2318" i="41" s="1"/>
  <c r="X2318" i="41" s="1"/>
  <c r="S2319" i="41"/>
  <c r="V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S2324" i="41"/>
  <c r="V2324" i="41" s="1"/>
  <c r="X2324" i="41" s="1"/>
  <c r="S2325" i="41"/>
  <c r="V2325" i="41" s="1"/>
  <c r="S2326" i="41"/>
  <c r="V2326" i="41" s="1"/>
  <c r="X2326" i="41" s="1"/>
  <c r="S2327" i="41"/>
  <c r="V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S2332" i="41"/>
  <c r="V2332" i="41" s="1"/>
  <c r="X2332" i="41" s="1"/>
  <c r="S2333" i="41"/>
  <c r="V2333" i="41" s="1"/>
  <c r="S2334" i="41"/>
  <c r="V2334" i="41" s="1"/>
  <c r="X2334" i="41" s="1"/>
  <c r="S2335" i="41"/>
  <c r="V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S2340" i="41"/>
  <c r="V2340" i="41" s="1"/>
  <c r="X2340" i="41" s="1"/>
  <c r="S2341" i="41"/>
  <c r="V2341" i="41" s="1"/>
  <c r="S2342" i="41"/>
  <c r="V2342" i="41" s="1"/>
  <c r="X2342" i="41" s="1"/>
  <c r="S2343" i="41"/>
  <c r="V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S2348" i="41"/>
  <c r="V2348" i="41" s="1"/>
  <c r="X2348" i="41" s="1"/>
  <c r="S2349" i="41"/>
  <c r="V2349" i="41" s="1"/>
  <c r="S2350" i="41"/>
  <c r="V2350" i="41" s="1"/>
  <c r="X2350" i="41" s="1"/>
  <c r="S2351" i="41"/>
  <c r="V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S2356" i="41"/>
  <c r="V2356" i="41" s="1"/>
  <c r="X2356" i="41" s="1"/>
  <c r="S2357" i="41"/>
  <c r="V2357" i="41" s="1"/>
  <c r="S2358" i="41"/>
  <c r="V2358" i="41" s="1"/>
  <c r="X2358" i="41" s="1"/>
  <c r="S2359" i="41"/>
  <c r="V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S2364" i="41"/>
  <c r="V2364" i="41" s="1"/>
  <c r="X2364" i="41" s="1"/>
  <c r="S2365" i="41"/>
  <c r="V2365" i="41" s="1"/>
  <c r="S2366" i="41"/>
  <c r="V2366" i="41" s="1"/>
  <c r="X2366" i="41" s="1"/>
  <c r="S2367" i="41"/>
  <c r="V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S2372" i="41"/>
  <c r="V2372" i="41" s="1"/>
  <c r="X2372" i="41" s="1"/>
  <c r="S2373" i="41"/>
  <c r="V2373" i="41" s="1"/>
  <c r="S2374" i="41"/>
  <c r="V2374" i="41" s="1"/>
  <c r="X2374" i="41" s="1"/>
  <c r="S2375" i="41"/>
  <c r="V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S2380" i="41"/>
  <c r="V2380" i="41" s="1"/>
  <c r="X2380" i="41" s="1"/>
  <c r="S2381" i="41"/>
  <c r="V2381" i="41" s="1"/>
  <c r="S2382" i="41"/>
  <c r="V2382" i="41" s="1"/>
  <c r="X2382" i="41" s="1"/>
  <c r="S2383" i="41"/>
  <c r="V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S2388" i="41"/>
  <c r="V2388" i="41" s="1"/>
  <c r="X2388" i="41" s="1"/>
  <c r="S2389" i="41"/>
  <c r="V2389" i="41" s="1"/>
  <c r="S2390" i="41"/>
  <c r="V2390" i="41" s="1"/>
  <c r="X2390" i="41" s="1"/>
  <c r="S2391" i="41"/>
  <c r="V2391" i="41" s="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P28" i="41" s="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P44" i="41" s="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P60" i="41" s="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O91" i="41"/>
  <c r="P91" i="41" s="1"/>
  <c r="O92" i="41"/>
  <c r="P92" i="41" s="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P108" i="41" s="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P124" i="41" s="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O155" i="41"/>
  <c r="P155" i="41" s="1"/>
  <c r="O156" i="41"/>
  <c r="P156" i="41" s="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P172" i="41" s="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P188" i="41" s="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O219" i="41"/>
  <c r="P219" i="41" s="1"/>
  <c r="O220" i="41"/>
  <c r="P220" i="41" s="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P236" i="41" s="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P252" i="41" s="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P284" i="41" s="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P300" i="41" s="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P316" i="41" s="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O347" i="41"/>
  <c r="P347" i="41" s="1"/>
  <c r="O348" i="41"/>
  <c r="P348" i="41" s="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P364" i="41" s="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P380" i="41" s="1"/>
  <c r="O381" i="41"/>
  <c r="P381" i="41" s="1"/>
  <c r="O382" i="41"/>
  <c r="P382" i="41" s="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P413" i="41" s="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P509" i="41" s="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P541" i="41" s="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P557" i="41" s="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P621" i="41" s="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P733" i="41" s="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P749" i="41" s="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P765" i="41" s="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P813" i="41" s="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P925" i="41" s="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P941" i="41" s="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P989" i="41" s="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P1001" i="41" s="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P1009" i="41" s="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P1065" i="41" s="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P1073" i="41" s="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P1089" i="41" s="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P1097" i="41" s="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P1121" i="41" s="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O1182" i="41"/>
  <c r="P1182" i="41" s="1"/>
  <c r="O1183" i="41"/>
  <c r="P1183" i="41" s="1"/>
  <c r="O1184" i="41"/>
  <c r="P1184" i="41" s="1"/>
  <c r="O1185" i="41"/>
  <c r="P1185" i="41" s="1"/>
  <c r="O1186" i="41"/>
  <c r="P1186" i="41" s="1"/>
  <c r="O1187" i="41"/>
  <c r="P1187" i="41" s="1"/>
  <c r="O1188" i="41"/>
  <c r="P1188" i="41" s="1"/>
  <c r="O1189" i="41"/>
  <c r="P1189" i="41" s="1"/>
  <c r="O1190" i="41"/>
  <c r="P1190" i="41" s="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O1198" i="41"/>
  <c r="P1198" i="41" s="1"/>
  <c r="O1199" i="41"/>
  <c r="P1199" i="41" s="1"/>
  <c r="O1200" i="41"/>
  <c r="P1200" i="41" s="1"/>
  <c r="O1201" i="41"/>
  <c r="P1201" i="41" s="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P1217" i="41" s="1"/>
  <c r="O1218" i="41"/>
  <c r="P1218" i="41" s="1"/>
  <c r="O1219" i="41"/>
  <c r="P1219" i="41" s="1"/>
  <c r="O1220" i="41"/>
  <c r="P1220" i="41" s="1"/>
  <c r="O1221" i="41"/>
  <c r="P1221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P1265" i="41" s="1"/>
  <c r="O1266" i="41"/>
  <c r="P1266" i="41" s="1"/>
  <c r="O1267" i="41"/>
  <c r="P1267" i="41" s="1"/>
  <c r="O1268" i="41"/>
  <c r="P1268" i="41" s="1"/>
  <c r="O1269" i="41"/>
  <c r="P1269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P1281" i="41" s="1"/>
  <c r="O1282" i="41"/>
  <c r="P1282" i="41" s="1"/>
  <c r="O1283" i="41"/>
  <c r="P1283" i="41" s="1"/>
  <c r="O1284" i="41"/>
  <c r="P1284" i="41" s="1"/>
  <c r="O1285" i="41"/>
  <c r="P1285" i="41" s="1"/>
  <c r="O1286" i="41"/>
  <c r="P1286" i="41" s="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O1310" i="41"/>
  <c r="P1310" i="41" s="1"/>
  <c r="O1311" i="41"/>
  <c r="P1311" i="41" s="1"/>
  <c r="O1312" i="41"/>
  <c r="P1312" i="41" s="1"/>
  <c r="O1313" i="41"/>
  <c r="P1313" i="41" s="1"/>
  <c r="O1314" i="41"/>
  <c r="P1314" i="41" s="1"/>
  <c r="O1315" i="41"/>
  <c r="P1315" i="41" s="1"/>
  <c r="O1316" i="41"/>
  <c r="P1316" i="41" s="1"/>
  <c r="O1317" i="41"/>
  <c r="P1317" i="41" s="1"/>
  <c r="O1318" i="41"/>
  <c r="P1318" i="41" s="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O1374" i="41"/>
  <c r="P1374" i="41" s="1"/>
  <c r="O1375" i="41"/>
  <c r="P1375" i="41" s="1"/>
  <c r="O1376" i="41"/>
  <c r="P1376" i="41" s="1"/>
  <c r="O1377" i="41"/>
  <c r="P1377" i="41" s="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P1393" i="41" s="1"/>
  <c r="O1394" i="41"/>
  <c r="P1394" i="41" s="1"/>
  <c r="O1395" i="41"/>
  <c r="P1395" i="41" s="1"/>
  <c r="O1396" i="41"/>
  <c r="P1396" i="41" s="1"/>
  <c r="O1397" i="41"/>
  <c r="P1397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O1406" i="41"/>
  <c r="P1406" i="41" s="1"/>
  <c r="O1407" i="41"/>
  <c r="P1407" i="41" s="1"/>
  <c r="O1408" i="41"/>
  <c r="P1408" i="41" s="1"/>
  <c r="O1409" i="41"/>
  <c r="P1409" i="41" s="1"/>
  <c r="O1410" i="41"/>
  <c r="P1410" i="41" s="1"/>
  <c r="O1411" i="41"/>
  <c r="P1411" i="41" s="1"/>
  <c r="O1412" i="41"/>
  <c r="P1412" i="41" s="1"/>
  <c r="O1413" i="41"/>
  <c r="P1413" i="41" s="1"/>
  <c r="O1414" i="41"/>
  <c r="P1414" i="41" s="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P1473" i="41" s="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O1502" i="41"/>
  <c r="P1502" i="41" s="1"/>
  <c r="O1503" i="41"/>
  <c r="P1503" i="41" s="1"/>
  <c r="O1504" i="41"/>
  <c r="P1504" i="41" s="1"/>
  <c r="O1505" i="41"/>
  <c r="P1505" i="41" s="1"/>
  <c r="O1506" i="41"/>
  <c r="P1506" i="41" s="1"/>
  <c r="O1507" i="41"/>
  <c r="P1507" i="41" s="1"/>
  <c r="O1508" i="41"/>
  <c r="P1508" i="41" s="1"/>
  <c r="O1509" i="41"/>
  <c r="P1509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O1518" i="41"/>
  <c r="P1518" i="41" s="1"/>
  <c r="O1519" i="41"/>
  <c r="P1519" i="41" s="1"/>
  <c r="O1520" i="41"/>
  <c r="P1520" i="41" s="1"/>
  <c r="O1521" i="41"/>
  <c r="P1521" i="41" s="1"/>
  <c r="O1522" i="41"/>
  <c r="P1522" i="41" s="1"/>
  <c r="O1523" i="41"/>
  <c r="P1523" i="41" s="1"/>
  <c r="O1524" i="41"/>
  <c r="P1524" i="41" s="1"/>
  <c r="O1525" i="41"/>
  <c r="P1525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P1585" i="41" s="1"/>
  <c r="O1586" i="41"/>
  <c r="P1586" i="41" s="1"/>
  <c r="O1587" i="41"/>
  <c r="P1587" i="41" s="1"/>
  <c r="O1588" i="41"/>
  <c r="P1588" i="41" s="1"/>
  <c r="O1589" i="41"/>
  <c r="P1589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O1598" i="41"/>
  <c r="P1598" i="41" s="1"/>
  <c r="O1599" i="41"/>
  <c r="P1599" i="41" s="1"/>
  <c r="O1600" i="41"/>
  <c r="P1600" i="41" s="1"/>
  <c r="O1601" i="41"/>
  <c r="P1601" i="41" s="1"/>
  <c r="O1602" i="41"/>
  <c r="P1602" i="41" s="1"/>
  <c r="O1603" i="41"/>
  <c r="P1603" i="41" s="1"/>
  <c r="O1604" i="41"/>
  <c r="P1604" i="41" s="1"/>
  <c r="O1605" i="41"/>
  <c r="P1605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O1630" i="41"/>
  <c r="P1630" i="41" s="1"/>
  <c r="O1631" i="41"/>
  <c r="P1631" i="41" s="1"/>
  <c r="O1632" i="41"/>
  <c r="P1632" i="41" s="1"/>
  <c r="O1633" i="41"/>
  <c r="P1633" i="41" s="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O1670" i="41"/>
  <c r="P1670" i="41" s="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O1694" i="41"/>
  <c r="P1694" i="41" s="1"/>
  <c r="O1695" i="41"/>
  <c r="P1695" i="41" s="1"/>
  <c r="O1696" i="41"/>
  <c r="P1696" i="41" s="1"/>
  <c r="O1697" i="41"/>
  <c r="P1697" i="41" s="1"/>
  <c r="O1698" i="41"/>
  <c r="P1698" i="41" s="1"/>
  <c r="O1699" i="41"/>
  <c r="P1699" i="41" s="1"/>
  <c r="O1700" i="41"/>
  <c r="P1700" i="41" s="1"/>
  <c r="O1701" i="41"/>
  <c r="P1701" i="41" s="1"/>
  <c r="O1702" i="41"/>
  <c r="P1702" i="41" s="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O1726" i="41"/>
  <c r="P1726" i="41" s="1"/>
  <c r="O1727" i="41"/>
  <c r="P1727" i="41" s="1"/>
  <c r="O1728" i="41"/>
  <c r="P1728" i="41" s="1"/>
  <c r="O1729" i="41"/>
  <c r="P1729" i="41" s="1"/>
  <c r="O1730" i="41"/>
  <c r="P1730" i="41" s="1"/>
  <c r="O1731" i="41"/>
  <c r="P1731" i="41" s="1"/>
  <c r="O1732" i="41"/>
  <c r="P1732" i="41" s="1"/>
  <c r="O1733" i="41"/>
  <c r="P1733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O1774" i="41"/>
  <c r="P1774" i="41" s="1"/>
  <c r="O1775" i="41"/>
  <c r="P1775" i="41" s="1"/>
  <c r="O1776" i="41"/>
  <c r="P1776" i="41" s="1"/>
  <c r="O1777" i="41"/>
  <c r="P1777" i="41" s="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O1790" i="41"/>
  <c r="P1790" i="41" s="1"/>
  <c r="O1791" i="41"/>
  <c r="P1791" i="41" s="1"/>
  <c r="O1792" i="41"/>
  <c r="P1792" i="41" s="1"/>
  <c r="O1793" i="41"/>
  <c r="P1793" i="41" s="1"/>
  <c r="O1794" i="41"/>
  <c r="P1794" i="41" s="1"/>
  <c r="O1795" i="41"/>
  <c r="P1795" i="41" s="1"/>
  <c r="O1796" i="41"/>
  <c r="P1796" i="41" s="1"/>
  <c r="O1797" i="41"/>
  <c r="P1797" i="41" s="1"/>
  <c r="O1798" i="41"/>
  <c r="P1798" i="41" s="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P1830" i="41" s="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O1886" i="41"/>
  <c r="P1886" i="41" s="1"/>
  <c r="O1887" i="41"/>
  <c r="P1887" i="41" s="1"/>
  <c r="O1888" i="41"/>
  <c r="P1888" i="41" s="1"/>
  <c r="O1889" i="41"/>
  <c r="P1889" i="41" s="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O1902" i="41"/>
  <c r="P1902" i="41" s="1"/>
  <c r="O1903" i="41"/>
  <c r="P1903" i="41" s="1"/>
  <c r="O1904" i="41"/>
  <c r="P1904" i="41" s="1"/>
  <c r="O1905" i="41"/>
  <c r="P1905" i="41" s="1"/>
  <c r="O1906" i="41"/>
  <c r="P1906" i="41" s="1"/>
  <c r="O1907" i="41"/>
  <c r="P1907" i="41" s="1"/>
  <c r="O1908" i="41"/>
  <c r="P1908" i="41" s="1"/>
  <c r="O1909" i="41"/>
  <c r="P1909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P1926" i="41" s="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O1982" i="41"/>
  <c r="P1982" i="41" s="1"/>
  <c r="O1983" i="41"/>
  <c r="P1983" i="41" s="1"/>
  <c r="O1984" i="41"/>
  <c r="P1984" i="41" s="1"/>
  <c r="O1985" i="41"/>
  <c r="P1985" i="41" s="1"/>
  <c r="O1986" i="41"/>
  <c r="P1986" i="41" s="1"/>
  <c r="O1987" i="41"/>
  <c r="P1987" i="41" s="1"/>
  <c r="O1988" i="41"/>
  <c r="P1988" i="41" s="1"/>
  <c r="O1989" i="41"/>
  <c r="P1989" i="41" s="1"/>
  <c r="O1990" i="41"/>
  <c r="P1990" i="41" s="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O2014" i="41"/>
  <c r="P2014" i="41" s="1"/>
  <c r="O2015" i="41"/>
  <c r="P2015" i="41" s="1"/>
  <c r="O2016" i="41"/>
  <c r="P2016" i="41" s="1"/>
  <c r="O2017" i="41"/>
  <c r="P2017" i="41" s="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O2030" i="41"/>
  <c r="P2030" i="41" s="1"/>
  <c r="O2031" i="41"/>
  <c r="P2031" i="41" s="1"/>
  <c r="O2032" i="41"/>
  <c r="P2032" i="41" s="1"/>
  <c r="O2033" i="41"/>
  <c r="P2033" i="41" s="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P2086" i="41" s="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O2094" i="41"/>
  <c r="P2094" i="41" s="1"/>
  <c r="O2095" i="41"/>
  <c r="P2095" i="41" s="1"/>
  <c r="O2096" i="41"/>
  <c r="P2096" i="41" s="1"/>
  <c r="O2097" i="41"/>
  <c r="P2097" i="41" s="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O2110" i="41"/>
  <c r="P2110" i="41" s="1"/>
  <c r="O2111" i="41"/>
  <c r="P2111" i="41" s="1"/>
  <c r="O2112" i="41"/>
  <c r="P2112" i="41" s="1"/>
  <c r="O2113" i="41"/>
  <c r="P2113" i="41" s="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O2142" i="41"/>
  <c r="P2142" i="41" s="1"/>
  <c r="O2143" i="41"/>
  <c r="P2143" i="41" s="1"/>
  <c r="O2144" i="41"/>
  <c r="P2144" i="41" s="1"/>
  <c r="O2145" i="41"/>
  <c r="P2145" i="41" s="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P2209" i="41" s="1"/>
  <c r="O2210" i="41"/>
  <c r="P2210" i="41" s="1"/>
  <c r="O2211" i="41"/>
  <c r="P2211" i="41" s="1"/>
  <c r="O2212" i="41"/>
  <c r="P2212" i="41" s="1"/>
  <c r="O2213" i="41"/>
  <c r="P2213" i="41" s="1"/>
  <c r="O2214" i="41"/>
  <c r="P2214" i="41" s="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O2238" i="41"/>
  <c r="P2238" i="41" s="1"/>
  <c r="O2239" i="41"/>
  <c r="P2239" i="41" s="1"/>
  <c r="O2240" i="41"/>
  <c r="P2240" i="41" s="1"/>
  <c r="O2241" i="41"/>
  <c r="P2241" i="41" s="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P2278" i="41" s="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P2294" i="41" s="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P2326" i="41" s="1"/>
  <c r="O2327" i="41"/>
  <c r="P2327" i="41" s="1"/>
  <c r="O2328" i="41"/>
  <c r="P2328" i="41" s="1"/>
  <c r="O2329" i="41"/>
  <c r="P2329" i="41" s="1"/>
  <c r="O2330" i="41"/>
  <c r="P2330" i="41" s="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P2342" i="41" s="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P2384" i="41" s="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N16" i="41" s="1"/>
  <c r="M18" i="41"/>
  <c r="N18" i="41" s="1"/>
  <c r="M19" i="41"/>
  <c r="N19" i="41" s="1"/>
  <c r="M20" i="41"/>
  <c r="N20" i="41" s="1"/>
  <c r="M21" i="41"/>
  <c r="N21" i="41" s="1"/>
  <c r="M23" i="41"/>
  <c r="N23" i="41" s="1"/>
  <c r="M24" i="41"/>
  <c r="N24" i="41" s="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N34" i="41" s="1"/>
  <c r="M35" i="41"/>
  <c r="N35" i="41" s="1"/>
  <c r="M36" i="41"/>
  <c r="N36" i="41" s="1"/>
  <c r="M38" i="41"/>
  <c r="N38" i="41" s="1"/>
  <c r="M39" i="41"/>
  <c r="N39" i="41" s="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N55" i="41" s="1"/>
  <c r="M56" i="41"/>
  <c r="N56" i="41" s="1"/>
  <c r="M58" i="41"/>
  <c r="N58" i="41" s="1"/>
  <c r="M59" i="41"/>
  <c r="N59" i="41" s="1"/>
  <c r="M60" i="41"/>
  <c r="N60" i="41" s="1"/>
  <c r="M61" i="41"/>
  <c r="N61" i="41" s="1"/>
  <c r="M63" i="41"/>
  <c r="N63" i="41" s="1"/>
  <c r="M64" i="41"/>
  <c r="N64" i="41" s="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N79" i="41" s="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N88" i="41" s="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N103" i="41" s="1"/>
  <c r="M104" i="41"/>
  <c r="N104" i="41" s="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N114" i="41" s="1"/>
  <c r="M115" i="41"/>
  <c r="N115" i="41" s="1"/>
  <c r="M116" i="41"/>
  <c r="N116" i="41" s="1"/>
  <c r="M118" i="41"/>
  <c r="N118" i="41" s="1"/>
  <c r="M119" i="41"/>
  <c r="N119" i="41" s="1"/>
  <c r="M120" i="41"/>
  <c r="N120" i="41" s="1"/>
  <c r="M121" i="41"/>
  <c r="N121" i="41" s="1"/>
  <c r="M123" i="41"/>
  <c r="N123" i="41" s="1"/>
  <c r="M124" i="41"/>
  <c r="N124" i="41" s="1"/>
  <c r="M125" i="41"/>
  <c r="N125" i="41" s="1"/>
  <c r="M126" i="41"/>
  <c r="N126" i="41" s="1"/>
  <c r="M128" i="41"/>
  <c r="N128" i="41" s="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N135" i="41" s="1"/>
  <c r="M136" i="41"/>
  <c r="N136" i="41" s="1"/>
  <c r="M138" i="41"/>
  <c r="N138" i="41" s="1"/>
  <c r="M139" i="41"/>
  <c r="N139" i="41" s="1"/>
  <c r="M140" i="41"/>
  <c r="N140" i="41" s="1"/>
  <c r="M141" i="41"/>
  <c r="N141" i="41" s="1"/>
  <c r="M143" i="41"/>
  <c r="M144" i="41"/>
  <c r="N144" i="41" s="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N154" i="41" s="1"/>
  <c r="M155" i="41"/>
  <c r="N155" i="41" s="1"/>
  <c r="M156" i="41"/>
  <c r="N156" i="41" s="1"/>
  <c r="M158" i="41"/>
  <c r="N158" i="41" s="1"/>
  <c r="M159" i="41"/>
  <c r="N159" i="41" s="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N168" i="41" s="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N176" i="41" s="1"/>
  <c r="M178" i="41"/>
  <c r="N178" i="41" s="1"/>
  <c r="M179" i="41"/>
  <c r="N179" i="41" s="1"/>
  <c r="M180" i="41"/>
  <c r="N180" i="41" s="1"/>
  <c r="M181" i="41"/>
  <c r="N181" i="41" s="1"/>
  <c r="M183" i="41"/>
  <c r="N183" i="41" s="1"/>
  <c r="M184" i="41"/>
  <c r="N184" i="41" s="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N194" i="41" s="1"/>
  <c r="M195" i="41"/>
  <c r="N195" i="41" s="1"/>
  <c r="M196" i="41"/>
  <c r="N196" i="41" s="1"/>
  <c r="M198" i="41"/>
  <c r="N198" i="41" s="1"/>
  <c r="M199" i="41"/>
  <c r="N199" i="41" s="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8" i="41"/>
  <c r="N218" i="41" s="1"/>
  <c r="M219" i="41"/>
  <c r="N219" i="41" s="1"/>
  <c r="M220" i="41"/>
  <c r="N220" i="41" s="1"/>
  <c r="M221" i="41"/>
  <c r="N221" i="41" s="1"/>
  <c r="M223" i="41"/>
  <c r="N223" i="41" s="1"/>
  <c r="M224" i="41"/>
  <c r="N224" i="41" s="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N231" i="41" s="1"/>
  <c r="M233" i="41"/>
  <c r="N233" i="41" s="1"/>
  <c r="M234" i="41"/>
  <c r="N234" i="41" s="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N248" i="41" s="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N264" i="41" s="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N274" i="41" s="1"/>
  <c r="M275" i="41"/>
  <c r="N275" i="41" s="1"/>
  <c r="M276" i="41"/>
  <c r="N276" i="41" s="1"/>
  <c r="M278" i="41"/>
  <c r="N278" i="41" s="1"/>
  <c r="M279" i="41"/>
  <c r="N279" i="41" s="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N288" i="41" s="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N296" i="41" s="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N306" i="41" s="1"/>
  <c r="M308" i="41"/>
  <c r="N308" i="41" s="1"/>
  <c r="M309" i="41"/>
  <c r="N309" i="41" s="1"/>
  <c r="M310" i="41"/>
  <c r="N310" i="41" s="1"/>
  <c r="M311" i="41"/>
  <c r="N311" i="41" s="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N335" i="41" s="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N344" i="41" s="1"/>
  <c r="M345" i="41"/>
  <c r="N345" i="41" s="1"/>
  <c r="M346" i="41"/>
  <c r="N346" i="41" s="1"/>
  <c r="M348" i="41"/>
  <c r="N348" i="41" s="1"/>
  <c r="M349" i="41"/>
  <c r="N349" i="41" s="1"/>
  <c r="M350" i="41"/>
  <c r="N350" i="41" s="1"/>
  <c r="M351" i="41"/>
  <c r="N351" i="41" s="1"/>
  <c r="M353" i="41"/>
  <c r="N353" i="41" s="1"/>
  <c r="M354" i="41"/>
  <c r="N354" i="41" s="1"/>
  <c r="M355" i="41"/>
  <c r="N355" i="41" s="1"/>
  <c r="M356" i="41"/>
  <c r="N356" i="41" s="1"/>
  <c r="M358" i="41"/>
  <c r="N358" i="41" s="1"/>
  <c r="M359" i="41"/>
  <c r="N359" i="41" s="1"/>
  <c r="M360" i="41"/>
  <c r="M361" i="41"/>
  <c r="N361" i="41" s="1"/>
  <c r="M363" i="41"/>
  <c r="N363" i="41" s="1"/>
  <c r="M364" i="41"/>
  <c r="N364" i="41" s="1"/>
  <c r="M365" i="41"/>
  <c r="N365" i="41" s="1"/>
  <c r="M366" i="41"/>
  <c r="N366" i="41" s="1"/>
  <c r="M368" i="41"/>
  <c r="N368" i="41" s="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N376" i="41" s="1"/>
  <c r="M378" i="41"/>
  <c r="N378" i="41" s="1"/>
  <c r="M379" i="41"/>
  <c r="N379" i="41" s="1"/>
  <c r="M380" i="41"/>
  <c r="N380" i="41" s="1"/>
  <c r="M381" i="41"/>
  <c r="N381" i="41" s="1"/>
  <c r="M383" i="41"/>
  <c r="M384" i="41"/>
  <c r="N384" i="41" s="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N391" i="41" s="1"/>
  <c r="M393" i="41"/>
  <c r="N393" i="41" s="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N409" i="41" s="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N419" i="41" s="1"/>
  <c r="M420" i="41"/>
  <c r="N420" i="41" s="1"/>
  <c r="M421" i="41"/>
  <c r="N421" i="41" s="1"/>
  <c r="M423" i="41"/>
  <c r="N423" i="41" s="1"/>
  <c r="M424" i="41"/>
  <c r="N424" i="41" s="1"/>
  <c r="M425" i="41"/>
  <c r="N425" i="41" s="1"/>
  <c r="M426" i="41"/>
  <c r="N426" i="41" s="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N439" i="41" s="1"/>
  <c r="M440" i="41"/>
  <c r="M441" i="41"/>
  <c r="N441" i="41" s="1"/>
  <c r="M443" i="41"/>
  <c r="N443" i="41" s="1"/>
  <c r="M444" i="41"/>
  <c r="N444" i="41" s="1"/>
  <c r="M445" i="41"/>
  <c r="N445" i="41" s="1"/>
  <c r="M446" i="41"/>
  <c r="N446" i="41" s="1"/>
  <c r="M448" i="41"/>
  <c r="N448" i="41" s="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N455" i="41" s="1"/>
  <c r="M456" i="41"/>
  <c r="N456" i="41" s="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N469" i="41" s="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N479" i="41" s="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N488" i="41" s="1"/>
  <c r="M489" i="41"/>
  <c r="N489" i="41" s="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N496" i="41" s="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N506" i="41" s="1"/>
  <c r="M508" i="41"/>
  <c r="N508" i="41" s="1"/>
  <c r="M509" i="41"/>
  <c r="N509" i="41" s="1"/>
  <c r="M510" i="41"/>
  <c r="N510" i="41" s="1"/>
  <c r="M511" i="41"/>
  <c r="N511" i="41" s="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N519" i="41" s="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N536" i="41" s="1"/>
  <c r="M538" i="41"/>
  <c r="N538" i="41" s="1"/>
  <c r="M539" i="41"/>
  <c r="N539" i="41" s="1"/>
  <c r="M540" i="41"/>
  <c r="N540" i="41" s="1"/>
  <c r="M541" i="41"/>
  <c r="N541" i="41" s="1"/>
  <c r="M543" i="41"/>
  <c r="N543" i="41" s="1"/>
  <c r="M544" i="41"/>
  <c r="N544" i="41" s="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N559" i="41" s="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N568" i="41" s="1"/>
  <c r="M569" i="41"/>
  <c r="N569" i="41" s="1"/>
  <c r="M570" i="41"/>
  <c r="M571" i="41"/>
  <c r="N571" i="41" s="1"/>
  <c r="M573" i="41"/>
  <c r="N573" i="41" s="1"/>
  <c r="M574" i="41"/>
  <c r="N574" i="41" s="1"/>
  <c r="M575" i="41"/>
  <c r="N575" i="41" s="1"/>
  <c r="M576" i="41"/>
  <c r="N576" i="41" s="1"/>
  <c r="M578" i="41"/>
  <c r="N578" i="41" s="1"/>
  <c r="M579" i="41"/>
  <c r="M580" i="41"/>
  <c r="N580" i="41" s="1"/>
  <c r="M581" i="41"/>
  <c r="N581" i="41" s="1"/>
  <c r="M583" i="41"/>
  <c r="N583" i="41" s="1"/>
  <c r="M584" i="41"/>
  <c r="N584" i="41" s="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N600" i="41" s="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N615" i="41" s="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N624" i="41" s="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N640" i="41" s="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N655" i="41" s="1"/>
  <c r="M656" i="41"/>
  <c r="M658" i="41"/>
  <c r="N658" i="41" s="1"/>
  <c r="M659" i="41"/>
  <c r="N659" i="41" s="1"/>
  <c r="M660" i="41"/>
  <c r="N660" i="41" s="1"/>
  <c r="M661" i="41"/>
  <c r="N661" i="41" s="1"/>
  <c r="M663" i="41"/>
  <c r="N663" i="41" s="1"/>
  <c r="M664" i="41"/>
  <c r="N664" i="41" s="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N679" i="41" s="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N690" i="41" s="1"/>
  <c r="M691" i="41"/>
  <c r="N691" i="41" s="1"/>
  <c r="M693" i="41"/>
  <c r="N693" i="41" s="1"/>
  <c r="M694" i="41"/>
  <c r="N694" i="41" s="1"/>
  <c r="M695" i="41"/>
  <c r="N695" i="41" s="1"/>
  <c r="M696" i="41"/>
  <c r="M698" i="41"/>
  <c r="N698" i="41" s="1"/>
  <c r="M699" i="41"/>
  <c r="N699" i="41" s="1"/>
  <c r="M700" i="41"/>
  <c r="N700" i="41" s="1"/>
  <c r="M701" i="41"/>
  <c r="N701" i="41" s="1"/>
  <c r="M703" i="41"/>
  <c r="N703" i="41" s="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N714" i="41" s="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N728" i="41" s="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N735" i="41" s="1"/>
  <c r="M736" i="41"/>
  <c r="M738" i="41"/>
  <c r="N738" i="41" s="1"/>
  <c r="M739" i="41"/>
  <c r="N739" i="41" s="1"/>
  <c r="M740" i="41"/>
  <c r="N740" i="41" s="1"/>
  <c r="M741" i="41"/>
  <c r="N741" i="41" s="1"/>
  <c r="M743" i="41"/>
  <c r="N743" i="41" s="1"/>
  <c r="M744" i="41"/>
  <c r="N744" i="41" s="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N754" i="41" s="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8" i="41"/>
  <c r="N778" i="41" s="1"/>
  <c r="M779" i="41"/>
  <c r="N779" i="41" s="1"/>
  <c r="M780" i="41"/>
  <c r="N780" i="41" s="1"/>
  <c r="M781" i="41"/>
  <c r="N781" i="41" s="1"/>
  <c r="M783" i="41"/>
  <c r="N783" i="41" s="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N791" i="41" s="1"/>
  <c r="M793" i="41"/>
  <c r="N793" i="41" s="1"/>
  <c r="M794" i="41"/>
  <c r="N794" i="41" s="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8" i="41"/>
  <c r="N818" i="41" s="1"/>
  <c r="M819" i="41"/>
  <c r="N819" i="41" s="1"/>
  <c r="M820" i="41"/>
  <c r="N820" i="41" s="1"/>
  <c r="M821" i="41"/>
  <c r="N821" i="41" s="1"/>
  <c r="M823" i="41"/>
  <c r="N823" i="41" s="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N831" i="41" s="1"/>
  <c r="M833" i="41"/>
  <c r="N833" i="41" s="1"/>
  <c r="M834" i="41"/>
  <c r="N834" i="41" s="1"/>
  <c r="M835" i="41"/>
  <c r="N835" i="41" s="1"/>
  <c r="M836" i="41"/>
  <c r="N836" i="41" s="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N848" i="41" s="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N866" i="41" s="1"/>
  <c r="M868" i="41"/>
  <c r="N868" i="41" s="1"/>
  <c r="M869" i="41"/>
  <c r="N869" i="41" s="1"/>
  <c r="M870" i="41"/>
  <c r="N870" i="41" s="1"/>
  <c r="M871" i="41"/>
  <c r="N871" i="41" s="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N879" i="41" s="1"/>
  <c r="M880" i="41"/>
  <c r="M881" i="41"/>
  <c r="N881" i="41" s="1"/>
  <c r="M883" i="41"/>
  <c r="N883" i="41" s="1"/>
  <c r="M884" i="41"/>
  <c r="N884" i="41" s="1"/>
  <c r="M885" i="41"/>
  <c r="N885" i="41" s="1"/>
  <c r="M886" i="41"/>
  <c r="N886" i="41" s="1"/>
  <c r="M888" i="41"/>
  <c r="N888" i="41" s="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N896" i="41" s="1"/>
  <c r="M898" i="41"/>
  <c r="N898" i="41" s="1"/>
  <c r="M899" i="41"/>
  <c r="N899" i="41" s="1"/>
  <c r="M900" i="41"/>
  <c r="N900" i="41" s="1"/>
  <c r="M901" i="41"/>
  <c r="N901" i="41" s="1"/>
  <c r="M903" i="41"/>
  <c r="N903" i="41" s="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N911" i="41" s="1"/>
  <c r="M913" i="41"/>
  <c r="N913" i="41" s="1"/>
  <c r="M914" i="41"/>
  <c r="N914" i="41" s="1"/>
  <c r="M915" i="41"/>
  <c r="M916" i="41"/>
  <c r="N916" i="41" s="1"/>
  <c r="M918" i="41"/>
  <c r="N918" i="41" s="1"/>
  <c r="M919" i="41"/>
  <c r="N919" i="41" s="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N936" i="41" s="1"/>
  <c r="M938" i="41"/>
  <c r="N938" i="41" s="1"/>
  <c r="M939" i="41"/>
  <c r="N939" i="41" s="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N946" i="41" s="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N959" i="41" s="1"/>
  <c r="M960" i="41"/>
  <c r="N960" i="41" s="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N968" i="41" s="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N976" i="41" s="1"/>
  <c r="M978" i="41"/>
  <c r="N978" i="41" s="1"/>
  <c r="M979" i="41"/>
  <c r="N979" i="41" s="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N994" i="41" s="1"/>
  <c r="M995" i="41"/>
  <c r="M996" i="41"/>
  <c r="N996" i="41" s="1"/>
  <c r="M998" i="41"/>
  <c r="N998" i="41" s="1"/>
  <c r="M999" i="41"/>
  <c r="N999" i="41" s="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N1008" i="41" s="1"/>
  <c r="M1009" i="41"/>
  <c r="N1009" i="41" s="1"/>
  <c r="M1010" i="41"/>
  <c r="N1010" i="41" s="1"/>
  <c r="M1011" i="41"/>
  <c r="N1011" i="41" s="1"/>
  <c r="M1013" i="41"/>
  <c r="N1013" i="41" s="1"/>
  <c r="M1014" i="41"/>
  <c r="N1014" i="41" s="1"/>
  <c r="M1015" i="41"/>
  <c r="N1015" i="41" s="1"/>
  <c r="M1016" i="41"/>
  <c r="N1016" i="41" s="1"/>
  <c r="M1018" i="41"/>
  <c r="N1018" i="41" s="1"/>
  <c r="M1019" i="41"/>
  <c r="N1019" i="41" s="1"/>
  <c r="M1020" i="41"/>
  <c r="N1020" i="41" s="1"/>
  <c r="M1021" i="41"/>
  <c r="N1021" i="41" s="1"/>
  <c r="M1023" i="41"/>
  <c r="N1023" i="41" s="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N1031" i="41" s="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N1040" i="41" s="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N1049" i="41" s="1"/>
  <c r="M1050" i="41"/>
  <c r="N1050" i="41" s="1"/>
  <c r="M1051" i="41"/>
  <c r="N1051" i="41" s="1"/>
  <c r="M1053" i="41"/>
  <c r="N1053" i="41" s="1"/>
  <c r="M1054" i="41"/>
  <c r="N1054" i="41" s="1"/>
  <c r="M1055" i="41"/>
  <c r="M1056" i="41"/>
  <c r="N1056" i="41" s="1"/>
  <c r="M1058" i="41"/>
  <c r="N1058" i="41" s="1"/>
  <c r="M1059" i="41"/>
  <c r="N1059" i="41" s="1"/>
  <c r="M1060" i="41"/>
  <c r="N1060" i="41" s="1"/>
  <c r="M1061" i="41"/>
  <c r="N1061" i="41" s="1"/>
  <c r="M1063" i="41"/>
  <c r="M1064" i="41"/>
  <c r="N1064" i="41" s="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N1073" i="41" s="1"/>
  <c r="M1074" i="41"/>
  <c r="N1074" i="41" s="1"/>
  <c r="M1075" i="41"/>
  <c r="N1075" i="41" s="1"/>
  <c r="M1076" i="41"/>
  <c r="N1076" i="41" s="1"/>
  <c r="M1078" i="41"/>
  <c r="N1078" i="41" s="1"/>
  <c r="M1079" i="41"/>
  <c r="N1079" i="41" s="1"/>
  <c r="M1080" i="41"/>
  <c r="N1080" i="41" s="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N1090" i="41" s="1"/>
  <c r="M1091" i="41"/>
  <c r="N1091" i="41" s="1"/>
  <c r="M1093" i="41"/>
  <c r="N1093" i="41" s="1"/>
  <c r="M1094" i="41"/>
  <c r="N1094" i="41" s="1"/>
  <c r="M1095" i="41"/>
  <c r="N1095" i="41" s="1"/>
  <c r="M1096" i="41"/>
  <c r="N1096" i="41" s="1"/>
  <c r="M1098" i="41"/>
  <c r="N1098" i="41" s="1"/>
  <c r="M1099" i="41"/>
  <c r="N1099" i="41" s="1"/>
  <c r="M1100" i="41"/>
  <c r="N1100" i="41" s="1"/>
  <c r="M1101" i="41"/>
  <c r="N1101" i="41" s="1"/>
  <c r="M1103" i="41"/>
  <c r="N1103" i="41" s="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N1114" i="41" s="1"/>
  <c r="M1115" i="41"/>
  <c r="N1115" i="41" s="1"/>
  <c r="M1116" i="41"/>
  <c r="N1116" i="41" s="1"/>
  <c r="M1118" i="41"/>
  <c r="N1118" i="41" s="1"/>
  <c r="M1119" i="41"/>
  <c r="N1119" i="41" s="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N1128" i="41" s="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N1135" i="41" s="1"/>
  <c r="M1136" i="41"/>
  <c r="N1136" i="41" s="1"/>
  <c r="M1138" i="41"/>
  <c r="N1138" i="41" s="1"/>
  <c r="M1139" i="41"/>
  <c r="N1139" i="41" s="1"/>
  <c r="M1140" i="41"/>
  <c r="N1140" i="41" s="1"/>
  <c r="M1141" i="41"/>
  <c r="N1141" i="41" s="1"/>
  <c r="M1143" i="41"/>
  <c r="N1143" i="41" s="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N1154" i="41" s="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N1168" i="41" s="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N1175" i="41" s="1"/>
  <c r="M1176" i="41"/>
  <c r="N1176" i="41" s="1"/>
  <c r="M1178" i="41"/>
  <c r="N1178" i="41" s="1"/>
  <c r="M1179" i="41"/>
  <c r="N1179" i="41" s="1"/>
  <c r="M1180" i="41"/>
  <c r="N1180" i="41" s="1"/>
  <c r="M1181" i="41"/>
  <c r="N1181" i="41" s="1"/>
  <c r="M1183" i="41"/>
  <c r="N1183" i="41" s="1"/>
  <c r="M1184" i="41"/>
  <c r="N1184" i="41" s="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N1215" i="41" s="1"/>
  <c r="M1216" i="41"/>
  <c r="N1216" i="41" s="1"/>
  <c r="M1218" i="41"/>
  <c r="N1218" i="41" s="1"/>
  <c r="M1219" i="41"/>
  <c r="N1219" i="41" s="1"/>
  <c r="M1220" i="41"/>
  <c r="N1220" i="41" s="1"/>
  <c r="M1221" i="41"/>
  <c r="N1221" i="41" s="1"/>
  <c r="M1223" i="41"/>
  <c r="N1223" i="41" s="1"/>
  <c r="M1224" i="41"/>
  <c r="N1224" i="41" s="1"/>
  <c r="M1225" i="41"/>
  <c r="N1225" i="41" s="1"/>
  <c r="M1226" i="41"/>
  <c r="N1226" i="41" s="1"/>
  <c r="M1228" i="41"/>
  <c r="N1228" i="41" s="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N1243" i="41" s="1"/>
  <c r="M1244" i="41"/>
  <c r="N1244" i="41" s="1"/>
  <c r="M1245" i="41"/>
  <c r="N1245" i="41" s="1"/>
  <c r="M1246" i="41"/>
  <c r="N1246" i="41" s="1"/>
  <c r="M1248" i="41"/>
  <c r="N1248" i="41" s="1"/>
  <c r="M1249" i="41"/>
  <c r="N1249" i="41" s="1"/>
  <c r="M1250" i="41"/>
  <c r="N1250" i="41" s="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N1263" i="41" s="1"/>
  <c r="M1264" i="41"/>
  <c r="N1264" i="41" s="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N1296" i="41" s="1"/>
  <c r="M1298" i="41"/>
  <c r="N1298" i="41" s="1"/>
  <c r="M1299" i="41"/>
  <c r="N1299" i="41" s="1"/>
  <c r="M1300" i="41"/>
  <c r="N1300" i="41" s="1"/>
  <c r="M1301" i="41"/>
  <c r="N1301" i="41" s="1"/>
  <c r="M1303" i="41"/>
  <c r="N1303" i="41" s="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N1315" i="41" s="1"/>
  <c r="M1316" i="41"/>
  <c r="N1316" i="41" s="1"/>
  <c r="M1318" i="41"/>
  <c r="N1318" i="41" s="1"/>
  <c r="M1319" i="41"/>
  <c r="N1319" i="41" s="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N1328" i="41" s="1"/>
  <c r="M1329" i="41"/>
  <c r="N1329" i="41" s="1"/>
  <c r="M1330" i="41"/>
  <c r="M1331" i="41"/>
  <c r="N1331" i="41" s="1"/>
  <c r="M1333" i="41"/>
  <c r="N1333" i="41" s="1"/>
  <c r="M1334" i="41"/>
  <c r="N1334" i="41" s="1"/>
  <c r="M1335" i="41"/>
  <c r="N1335" i="41" s="1"/>
  <c r="M1336" i="41"/>
  <c r="N1336" i="41" s="1"/>
  <c r="M1338" i="41"/>
  <c r="N1338" i="41" s="1"/>
  <c r="M1339" i="41"/>
  <c r="N1339" i="41" s="1"/>
  <c r="M1340" i="41"/>
  <c r="N1340" i="41" s="1"/>
  <c r="M1341" i="41"/>
  <c r="N1341" i="41" s="1"/>
  <c r="M1343" i="41"/>
  <c r="N1343" i="41" s="1"/>
  <c r="M1344" i="41"/>
  <c r="N1344" i="41" s="1"/>
  <c r="M1345" i="41"/>
  <c r="N1345" i="41" s="1"/>
  <c r="M1346" i="41"/>
  <c r="M1348" i="41"/>
  <c r="N1348" i="41" s="1"/>
  <c r="M1349" i="41"/>
  <c r="N1349" i="41" s="1"/>
  <c r="M1350" i="41"/>
  <c r="N1350" i="41" s="1"/>
  <c r="M1351" i="41"/>
  <c r="N1351" i="41" s="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N1371" i="41" s="1"/>
  <c r="M1373" i="41"/>
  <c r="N1373" i="41" s="1"/>
  <c r="M1374" i="41"/>
  <c r="N1374" i="41" s="1"/>
  <c r="M1375" i="41"/>
  <c r="N1375" i="41" s="1"/>
  <c r="M1376" i="41"/>
  <c r="N1376" i="41" s="1"/>
  <c r="M1378" i="41"/>
  <c r="M1379" i="41"/>
  <c r="N1379" i="41" s="1"/>
  <c r="M1380" i="41"/>
  <c r="N1380" i="41" s="1"/>
  <c r="M1381" i="41"/>
  <c r="N1381" i="41" s="1"/>
  <c r="M1383" i="41"/>
  <c r="N1383" i="41" s="1"/>
  <c r="M1384" i="41"/>
  <c r="N1384" i="41" s="1"/>
  <c r="M1385" i="41"/>
  <c r="N1385" i="41" s="1"/>
  <c r="M1386" i="41"/>
  <c r="M1388" i="41"/>
  <c r="N1388" i="41" s="1"/>
  <c r="M1389" i="41"/>
  <c r="N1389" i="41" s="1"/>
  <c r="M1390" i="41"/>
  <c r="N1390" i="41" s="1"/>
  <c r="M1391" i="41"/>
  <c r="N1391" i="41" s="1"/>
  <c r="M1393" i="41"/>
  <c r="N1393" i="41" s="1"/>
  <c r="M1394" i="41"/>
  <c r="N1394" i="41" s="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N1415" i="41" s="1"/>
  <c r="M1416" i="41"/>
  <c r="N1416" i="41" s="1"/>
  <c r="M1418" i="41"/>
  <c r="N1418" i="41" s="1"/>
  <c r="M1419" i="41"/>
  <c r="N1419" i="41" s="1"/>
  <c r="M1420" i="41"/>
  <c r="N1420" i="41" s="1"/>
  <c r="M1421" i="41"/>
  <c r="N1421" i="41" s="1"/>
  <c r="M1423" i="41"/>
  <c r="N1423" i="41" s="1"/>
  <c r="M1424" i="41"/>
  <c r="N1424" i="41" s="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N1439" i="41" s="1"/>
  <c r="M1440" i="41"/>
  <c r="N1440" i="41" s="1"/>
  <c r="M1441" i="41"/>
  <c r="N1441" i="41" s="1"/>
  <c r="M1443" i="41"/>
  <c r="N1443" i="41" s="1"/>
  <c r="M1444" i="41"/>
  <c r="N1444" i="41" s="1"/>
  <c r="M1445" i="41"/>
  <c r="N1445" i="41" s="1"/>
  <c r="M1446" i="41"/>
  <c r="N1446" i="41" s="1"/>
  <c r="M1448" i="41"/>
  <c r="N1448" i="41" s="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N1463" i="41" s="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N1471" i="41" s="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N1479" i="41" s="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N1488" i="41" s="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N1504" i="41" s="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N1514" i="41" s="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N1531" i="41" s="1"/>
  <c r="M1533" i="41"/>
  <c r="N1533" i="41" s="1"/>
  <c r="M1534" i="41"/>
  <c r="N1534" i="41" s="1"/>
  <c r="M1535" i="41"/>
  <c r="N1535" i="41" s="1"/>
  <c r="M1536" i="41"/>
  <c r="N1536" i="41" s="1"/>
  <c r="M1538" i="41"/>
  <c r="N1538" i="41" s="1"/>
  <c r="M1539" i="41"/>
  <c r="N1539" i="41" s="1"/>
  <c r="M1540" i="41"/>
  <c r="N1540" i="41" s="1"/>
  <c r="M1541" i="41"/>
  <c r="N1541" i="41" s="1"/>
  <c r="M1543" i="41"/>
  <c r="N1543" i="41" s="1"/>
  <c r="M1544" i="41"/>
  <c r="N1544" i="41" s="1"/>
  <c r="M1545" i="41"/>
  <c r="N1545" i="41" s="1"/>
  <c r="M1546" i="41"/>
  <c r="N1546" i="41" s="1"/>
  <c r="M1548" i="41"/>
  <c r="N1548" i="41" s="1"/>
  <c r="M1549" i="41"/>
  <c r="N1549" i="41" s="1"/>
  <c r="M1550" i="41"/>
  <c r="N1550" i="41" s="1"/>
  <c r="M1551" i="41"/>
  <c r="N1551" i="41" s="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N1561" i="41" s="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N1575" i="41" s="1"/>
  <c r="M1576" i="41"/>
  <c r="N1576" i="41" s="1"/>
  <c r="M1578" i="41"/>
  <c r="N1578" i="41" s="1"/>
  <c r="M1579" i="41"/>
  <c r="N1579" i="41" s="1"/>
  <c r="M1580" i="41"/>
  <c r="N1580" i="41" s="1"/>
  <c r="M1581" i="41"/>
  <c r="N1581" i="41" s="1"/>
  <c r="M1583" i="41"/>
  <c r="N1583" i="41" s="1"/>
  <c r="M1584" i="41"/>
  <c r="N1584" i="41" s="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N1599" i="41" s="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N1623" i="41" s="1"/>
  <c r="M1624" i="41"/>
  <c r="N1624" i="41" s="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N1631" i="41" s="1"/>
  <c r="M1633" i="41"/>
  <c r="N1633" i="41" s="1"/>
  <c r="M1634" i="41"/>
  <c r="N1634" i="41" s="1"/>
  <c r="M1635" i="41"/>
  <c r="N1635" i="41" s="1"/>
  <c r="M1636" i="41"/>
  <c r="N1636" i="41" s="1"/>
  <c r="M1638" i="41"/>
  <c r="N1638" i="41" s="1"/>
  <c r="M1639" i="41"/>
  <c r="N1639" i="41" s="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N1655" i="41" s="1"/>
  <c r="M1656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N1664" i="41" s="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8" i="41"/>
  <c r="N1678" i="41" s="1"/>
  <c r="M1679" i="41"/>
  <c r="N1679" i="41" s="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N1688" i="41" s="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N1703" i="41" s="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N1713" i="41" s="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N1744" i="41" s="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N1751" i="41" s="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N1768" i="41" s="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N1783" i="41" s="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N1793" i="41" s="1"/>
  <c r="M1794" i="41"/>
  <c r="N1794" i="41" s="1"/>
  <c r="M1795" i="41"/>
  <c r="N1795" i="41" s="1"/>
  <c r="M1796" i="41"/>
  <c r="N1796" i="41" s="1"/>
  <c r="M1798" i="41"/>
  <c r="N1798" i="41" s="1"/>
  <c r="M1799" i="41"/>
  <c r="N1799" i="41" s="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N1808" i="41" s="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N1839" i="41" s="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N1848" i="41" s="1"/>
  <c r="M1849" i="41"/>
  <c r="N1849" i="41" s="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8" i="41"/>
  <c r="N1858" i="41" s="1"/>
  <c r="M1859" i="41"/>
  <c r="N1859" i="41" s="1"/>
  <c r="M1860" i="41"/>
  <c r="N1860" i="41" s="1"/>
  <c r="M1861" i="41"/>
  <c r="N1861" i="41" s="1"/>
  <c r="M1863" i="41"/>
  <c r="N1863" i="41" s="1"/>
  <c r="M1864" i="41"/>
  <c r="N1864" i="41" s="1"/>
  <c r="M1865" i="41"/>
  <c r="N1865" i="41" s="1"/>
  <c r="M1866" i="41"/>
  <c r="M1868" i="41"/>
  <c r="N1868" i="41" s="1"/>
  <c r="M1869" i="41"/>
  <c r="N1869" i="41" s="1"/>
  <c r="M1870" i="41"/>
  <c r="N1870" i="41" s="1"/>
  <c r="M1871" i="41"/>
  <c r="N1871" i="41" s="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N1879" i="41" s="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N1888" i="41" s="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N1911" i="41" s="1"/>
  <c r="M1913" i="41"/>
  <c r="N1913" i="41" s="1"/>
  <c r="M1914" i="41"/>
  <c r="N1914" i="41" s="1"/>
  <c r="M1915" i="41"/>
  <c r="N1915" i="41" s="1"/>
  <c r="M1916" i="41"/>
  <c r="N1916" i="41" s="1"/>
  <c r="M1918" i="41"/>
  <c r="N1918" i="41" s="1"/>
  <c r="M1919" i="41"/>
  <c r="N1919" i="41" s="1"/>
  <c r="M1920" i="41"/>
  <c r="N1920" i="41" s="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8" i="41"/>
  <c r="N1938" i="41" s="1"/>
  <c r="M1939" i="41"/>
  <c r="N1939" i="41" s="1"/>
  <c r="M1940" i="41"/>
  <c r="N1940" i="41" s="1"/>
  <c r="M1941" i="41"/>
  <c r="N1941" i="41" s="1"/>
  <c r="M1943" i="41"/>
  <c r="N1943" i="41" s="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N1960" i="41" s="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N1968" i="41" s="1"/>
  <c r="M1969" i="41"/>
  <c r="N1969" i="41" s="1"/>
  <c r="M1970" i="41"/>
  <c r="N1970" i="41" s="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N1978" i="41" s="1"/>
  <c r="M1979" i="41"/>
  <c r="N1979" i="41" s="1"/>
  <c r="M1980" i="41"/>
  <c r="N1980" i="41" s="1"/>
  <c r="M1981" i="41"/>
  <c r="N1981" i="41" s="1"/>
  <c r="M1983" i="41"/>
  <c r="N1983" i="41" s="1"/>
  <c r="M1984" i="41"/>
  <c r="N1984" i="41" s="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N1999" i="41" s="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N2008" i="41" s="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3" i="41"/>
  <c r="M2024" i="41"/>
  <c r="N2024" i="41" s="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N2033" i="41" s="1"/>
  <c r="M2034" i="41"/>
  <c r="N2034" i="41" s="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N2048" i="41" s="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N2063" i="41" s="1"/>
  <c r="M2064" i="41"/>
  <c r="N2064" i="41" s="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N2095" i="41" s="1"/>
  <c r="M2096" i="41"/>
  <c r="N2096" i="41" s="1"/>
  <c r="M2098" i="41"/>
  <c r="N2098" i="41" s="1"/>
  <c r="M2099" i="41"/>
  <c r="N2099" i="41" s="1"/>
  <c r="M2100" i="41"/>
  <c r="N2100" i="41" s="1"/>
  <c r="M2101" i="41"/>
  <c r="N2101" i="41" s="1"/>
  <c r="M2103" i="41"/>
  <c r="M2104" i="41"/>
  <c r="N2104" i="41" s="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8" i="41"/>
  <c r="N2118" i="41" s="1"/>
  <c r="M2119" i="41"/>
  <c r="N2119" i="41" s="1"/>
  <c r="M2120" i="41"/>
  <c r="N2120" i="41" s="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N2128" i="41" s="1"/>
  <c r="M2129" i="41"/>
  <c r="N2129" i="41" s="1"/>
  <c r="M2130" i="41"/>
  <c r="N2130" i="41" s="1"/>
  <c r="M2131" i="41"/>
  <c r="N2131" i="41" s="1"/>
  <c r="M2133" i="41"/>
  <c r="N2133" i="41" s="1"/>
  <c r="M2134" i="41"/>
  <c r="N2134" i="41" s="1"/>
  <c r="M2135" i="41"/>
  <c r="N2135" i="41" s="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N2143" i="41" s="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8" i="41"/>
  <c r="N2158" i="41" s="1"/>
  <c r="M2159" i="41"/>
  <c r="N2159" i="41" s="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N2179" i="41" s="1"/>
  <c r="M2180" i="41"/>
  <c r="N2180" i="41" s="1"/>
  <c r="M2181" i="41"/>
  <c r="N2181" i="41" s="1"/>
  <c r="M2183" i="41"/>
  <c r="N2183" i="41" s="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N2193" i="41" s="1"/>
  <c r="M2194" i="41"/>
  <c r="N2194" i="41" s="1"/>
  <c r="M2195" i="41"/>
  <c r="N2195" i="41" s="1"/>
  <c r="M2196" i="41"/>
  <c r="N2196" i="41" s="1"/>
  <c r="M2198" i="41"/>
  <c r="N2198" i="41" s="1"/>
  <c r="M2199" i="41"/>
  <c r="N2199" i="41" s="1"/>
  <c r="M2200" i="41"/>
  <c r="N2200" i="41" s="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N2208" i="41" s="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N2215" i="41" s="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N2231" i="41" s="1"/>
  <c r="M2233" i="41"/>
  <c r="N2233" i="41" s="1"/>
  <c r="M2234" i="41"/>
  <c r="N2234" i="41" s="1"/>
  <c r="M2235" i="41"/>
  <c r="N2235" i="41" s="1"/>
  <c r="M2236" i="41"/>
  <c r="N2236" i="41" s="1"/>
  <c r="M2238" i="41"/>
  <c r="N2238" i="41" s="1"/>
  <c r="M2239" i="41"/>
  <c r="N2239" i="41" s="1"/>
  <c r="M2240" i="41"/>
  <c r="N2240" i="41" s="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N2263" i="41" s="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8" i="41"/>
  <c r="N2278" i="41" s="1"/>
  <c r="M2279" i="41"/>
  <c r="N2279" i="41" s="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N2303" i="41" s="1"/>
  <c r="M2304" i="41"/>
  <c r="N2304" i="41" s="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N2328" i="41" s="1"/>
  <c r="M2329" i="41"/>
  <c r="N2329" i="41" s="1"/>
  <c r="M2330" i="41"/>
  <c r="N2330" i="41" s="1"/>
  <c r="M2331" i="41"/>
  <c r="N2331" i="41" s="1"/>
  <c r="M2333" i="41"/>
  <c r="N2333" i="41" s="1"/>
  <c r="M2334" i="41"/>
  <c r="N2334" i="41" s="1"/>
  <c r="M2335" i="41"/>
  <c r="N2335" i="41" s="1"/>
  <c r="M2336" i="41"/>
  <c r="N2336" i="41" s="1"/>
  <c r="M2338" i="41"/>
  <c r="N2338" i="41" s="1"/>
  <c r="M2339" i="41"/>
  <c r="N2339" i="41" s="1"/>
  <c r="M2340" i="41"/>
  <c r="N2340" i="41" s="1"/>
  <c r="M2341" i="41"/>
  <c r="N2341" i="41" s="1"/>
  <c r="M2343" i="41"/>
  <c r="N2343" i="41" s="1"/>
  <c r="M2344" i="41"/>
  <c r="N2344" i="41" s="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N2364" i="41" s="1"/>
  <c r="M2365" i="41"/>
  <c r="N2365" i="41" s="1"/>
  <c r="M2366" i="41"/>
  <c r="N2366" i="41" s="1"/>
  <c r="M2368" i="41"/>
  <c r="N2368" i="41" s="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N2376" i="41" s="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N3" i="41" s="1"/>
  <c r="M4" i="41"/>
  <c r="N4" i="41" s="1"/>
  <c r="M5" i="41"/>
  <c r="N5" i="41" s="1"/>
  <c r="M6" i="41"/>
  <c r="N11" i="41"/>
  <c r="N40" i="41"/>
  <c r="N200" i="41"/>
  <c r="N240" i="41"/>
  <c r="N280" i="41"/>
  <c r="N528" i="41"/>
  <c r="N560" i="41"/>
  <c r="N579" i="41"/>
  <c r="N608" i="41"/>
  <c r="N611" i="41"/>
  <c r="N635" i="41"/>
  <c r="N656" i="41"/>
  <c r="N688" i="41"/>
  <c r="N736" i="41"/>
  <c r="N915" i="41"/>
  <c r="N995" i="41"/>
  <c r="N1000" i="41"/>
  <c r="N1088" i="41"/>
  <c r="N1251" i="41"/>
  <c r="N2243" i="41"/>
  <c r="K2337" i="41"/>
  <c r="N10" i="41"/>
  <c r="N15" i="41"/>
  <c r="N31" i="41"/>
  <c r="N66" i="41"/>
  <c r="N95" i="41"/>
  <c r="N143" i="41"/>
  <c r="N151" i="41"/>
  <c r="N175" i="41"/>
  <c r="N191" i="41"/>
  <c r="N210" i="41"/>
  <c r="N215" i="41"/>
  <c r="N239" i="41"/>
  <c r="N250" i="41"/>
  <c r="N263" i="41"/>
  <c r="N271" i="41"/>
  <c r="N320" i="41"/>
  <c r="N328" i="41"/>
  <c r="N330" i="41"/>
  <c r="N360" i="41"/>
  <c r="N370" i="41"/>
  <c r="N383" i="41"/>
  <c r="N410" i="41"/>
  <c r="N431" i="41"/>
  <c r="N440" i="41"/>
  <c r="N471" i="41"/>
  <c r="N480" i="41"/>
  <c r="N520" i="41"/>
  <c r="N535" i="41"/>
  <c r="N570" i="41"/>
  <c r="N591" i="41"/>
  <c r="N618" i="41"/>
  <c r="N631" i="41"/>
  <c r="N641" i="41"/>
  <c r="N696" i="41"/>
  <c r="N746" i="41"/>
  <c r="N775" i="41"/>
  <c r="N784" i="41"/>
  <c r="N800" i="41"/>
  <c r="N840" i="41"/>
  <c r="N850" i="41"/>
  <c r="N880" i="41"/>
  <c r="N895" i="41"/>
  <c r="N905" i="41"/>
  <c r="N928" i="41"/>
  <c r="N935" i="41"/>
  <c r="N951" i="41"/>
  <c r="N975" i="41"/>
  <c r="N1055" i="41"/>
  <c r="N1063" i="41"/>
  <c r="N1104" i="41"/>
  <c r="N1113" i="41"/>
  <c r="N1151" i="41"/>
  <c r="N1191" i="41"/>
  <c r="N1231" i="41"/>
  <c r="N1240" i="41"/>
  <c r="N1255" i="41"/>
  <c r="N1271" i="41"/>
  <c r="N1280" i="41"/>
  <c r="N1295" i="41"/>
  <c r="N1311" i="41"/>
  <c r="N1320" i="41"/>
  <c r="N1330" i="41"/>
  <c r="N1346" i="41"/>
  <c r="N1360" i="41"/>
  <c r="N1378" i="41"/>
  <c r="N1386" i="41"/>
  <c r="N1400" i="41"/>
  <c r="N1408" i="41"/>
  <c r="N1410" i="41"/>
  <c r="N1426" i="41"/>
  <c r="N1431" i="41"/>
  <c r="N1455" i="41"/>
  <c r="N1458" i="41"/>
  <c r="N1480" i="41"/>
  <c r="N1490" i="41"/>
  <c r="N1495" i="41"/>
  <c r="N1496" i="41"/>
  <c r="N1519" i="41"/>
  <c r="N1528" i="41"/>
  <c r="N1600" i="41"/>
  <c r="N1616" i="41"/>
  <c r="N1640" i="41"/>
  <c r="N1656" i="41"/>
  <c r="N1671" i="41"/>
  <c r="N1720" i="41"/>
  <c r="N1735" i="41"/>
  <c r="N1776" i="41"/>
  <c r="N1800" i="41"/>
  <c r="N1855" i="41"/>
  <c r="N1856" i="41"/>
  <c r="N1866" i="41"/>
  <c r="N1895" i="41"/>
  <c r="N1903" i="41"/>
  <c r="N1904" i="41"/>
  <c r="N1951" i="41"/>
  <c r="N1959" i="41"/>
  <c r="N2015" i="41"/>
  <c r="N2016" i="41"/>
  <c r="N2023" i="41"/>
  <c r="N2050" i="41"/>
  <c r="N2055" i="41"/>
  <c r="N2056" i="41"/>
  <c r="N2071" i="41"/>
  <c r="N2080" i="41"/>
  <c r="N2103" i="41"/>
  <c r="N2146" i="41"/>
  <c r="N2151" i="41"/>
  <c r="N2160" i="41"/>
  <c r="N2168" i="41"/>
  <c r="N2175" i="41"/>
  <c r="N2216" i="41"/>
  <c r="N2255" i="41"/>
  <c r="N2266" i="41"/>
  <c r="N2271" i="41"/>
  <c r="N2288" i="41"/>
  <c r="N2295" i="41"/>
  <c r="N2311" i="41"/>
  <c r="N2354" i="41"/>
  <c r="N2360" i="41"/>
  <c r="N2391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J42" i="41"/>
  <c r="M42" i="41" s="1"/>
  <c r="K42" i="41"/>
  <c r="J47" i="41"/>
  <c r="M47" i="41" s="1"/>
  <c r="K47" i="41"/>
  <c r="J52" i="41"/>
  <c r="M52" i="41" s="1"/>
  <c r="K52" i="41"/>
  <c r="J57" i="41"/>
  <c r="M57" i="41" s="1"/>
  <c r="K57" i="41"/>
  <c r="J62" i="41"/>
  <c r="M62" i="41" s="1"/>
  <c r="K62" i="41"/>
  <c r="J67" i="41"/>
  <c r="M67" i="41" s="1"/>
  <c r="K67" i="41"/>
  <c r="J72" i="41"/>
  <c r="M72" i="41" s="1"/>
  <c r="K72" i="41"/>
  <c r="J77" i="41"/>
  <c r="M77" i="41" s="1"/>
  <c r="K77" i="4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J122" i="41"/>
  <c r="M122" i="41" s="1"/>
  <c r="K122" i="41"/>
  <c r="J127" i="41"/>
  <c r="M127" i="41" s="1"/>
  <c r="K127" i="41"/>
  <c r="J132" i="41"/>
  <c r="M132" i="41" s="1"/>
  <c r="K132" i="4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K172" i="4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J217" i="41"/>
  <c r="M217" i="41" s="1"/>
  <c r="K217" i="41"/>
  <c r="J222" i="41"/>
  <c r="M222" i="41" s="1"/>
  <c r="K222" i="41"/>
  <c r="J227" i="41"/>
  <c r="M227" i="41" s="1"/>
  <c r="K227" i="41"/>
  <c r="J232" i="41"/>
  <c r="M232" i="41" s="1"/>
  <c r="K232" i="41"/>
  <c r="J237" i="41"/>
  <c r="M237" i="41" s="1"/>
  <c r="K237" i="41"/>
  <c r="J242" i="41"/>
  <c r="M242" i="41" s="1"/>
  <c r="K242" i="4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J267" i="41"/>
  <c r="M267" i="41" s="1"/>
  <c r="K267" i="41"/>
  <c r="J272" i="41"/>
  <c r="M272" i="41" s="1"/>
  <c r="K272" i="41"/>
  <c r="J277" i="41"/>
  <c r="M277" i="41" s="1"/>
  <c r="K277" i="41"/>
  <c r="J282" i="41"/>
  <c r="M282" i="41" s="1"/>
  <c r="K282" i="41"/>
  <c r="J287" i="41"/>
  <c r="M287" i="41" s="1"/>
  <c r="K287" i="41"/>
  <c r="J292" i="41"/>
  <c r="M292" i="41" s="1"/>
  <c r="K292" i="4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J322" i="41"/>
  <c r="M322" i="41" s="1"/>
  <c r="K322" i="4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J362" i="41"/>
  <c r="M362" i="41" s="1"/>
  <c r="K362" i="4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J397" i="41"/>
  <c r="M397" i="41" s="1"/>
  <c r="K397" i="4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J437" i="41"/>
  <c r="M437" i="41" s="1"/>
  <c r="K437" i="41"/>
  <c r="J442" i="41"/>
  <c r="M442" i="41" s="1"/>
  <c r="K442" i="41"/>
  <c r="J447" i="41"/>
  <c r="M447" i="41" s="1"/>
  <c r="K447" i="41"/>
  <c r="J452" i="41"/>
  <c r="M452" i="41" s="1"/>
  <c r="K452" i="4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K492" i="4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J557" i="41"/>
  <c r="M557" i="41" s="1"/>
  <c r="K557" i="41"/>
  <c r="J562" i="41"/>
  <c r="M562" i="41" s="1"/>
  <c r="K562" i="41"/>
  <c r="J567" i="41"/>
  <c r="M567" i="41" s="1"/>
  <c r="K567" i="41"/>
  <c r="J572" i="41"/>
  <c r="M572" i="41" s="1"/>
  <c r="K572" i="41"/>
  <c r="J577" i="41"/>
  <c r="M577" i="41" s="1"/>
  <c r="K577" i="41"/>
  <c r="J582" i="41"/>
  <c r="M582" i="41" s="1"/>
  <c r="K582" i="41"/>
  <c r="J587" i="41"/>
  <c r="M587" i="41" s="1"/>
  <c r="K587" i="41"/>
  <c r="J592" i="41"/>
  <c r="M592" i="41" s="1"/>
  <c r="K592" i="41"/>
  <c r="J597" i="41"/>
  <c r="M597" i="41" s="1"/>
  <c r="K597" i="41"/>
  <c r="J602" i="41"/>
  <c r="M602" i="41" s="1"/>
  <c r="K602" i="4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J627" i="41"/>
  <c r="M627" i="41" s="1"/>
  <c r="K627" i="41"/>
  <c r="J632" i="41"/>
  <c r="M632" i="41" s="1"/>
  <c r="K632" i="41"/>
  <c r="J637" i="41"/>
  <c r="M637" i="41" s="1"/>
  <c r="K637" i="41"/>
  <c r="J642" i="41"/>
  <c r="M642" i="41" s="1"/>
  <c r="K642" i="4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J667" i="41"/>
  <c r="M667" i="41" s="1"/>
  <c r="K667" i="41"/>
  <c r="J672" i="41"/>
  <c r="M672" i="41" s="1"/>
  <c r="K672" i="41"/>
  <c r="J677" i="41"/>
  <c r="M677" i="41" s="1"/>
  <c r="K677" i="41"/>
  <c r="J682" i="41"/>
  <c r="M682" i="41" s="1"/>
  <c r="K682" i="41"/>
  <c r="J687" i="41"/>
  <c r="M687" i="41" s="1"/>
  <c r="K687" i="41"/>
  <c r="J692" i="41"/>
  <c r="M692" i="41" s="1"/>
  <c r="K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J777" i="41"/>
  <c r="M777" i="41" s="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J807" i="41"/>
  <c r="M807" i="41" s="1"/>
  <c r="K807" i="41"/>
  <c r="J812" i="41"/>
  <c r="M812" i="41" s="1"/>
  <c r="K812" i="41"/>
  <c r="J817" i="41"/>
  <c r="M817" i="41" s="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M837" i="41" s="1"/>
  <c r="K837" i="41"/>
  <c r="J842" i="41"/>
  <c r="M842" i="41" s="1"/>
  <c r="K842" i="4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J867" i="41"/>
  <c r="M867" i="41" s="1"/>
  <c r="K867" i="41"/>
  <c r="J872" i="41"/>
  <c r="M872" i="41" s="1"/>
  <c r="K872" i="41"/>
  <c r="J877" i="41"/>
  <c r="M877" i="41" s="1"/>
  <c r="K877" i="41"/>
  <c r="J882" i="41"/>
  <c r="M882" i="41" s="1"/>
  <c r="K882" i="4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J922" i="41"/>
  <c r="M922" i="41" s="1"/>
  <c r="K922" i="4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J957" i="41"/>
  <c r="M957" i="41" s="1"/>
  <c r="K957" i="4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J997" i="41"/>
  <c r="M997" i="41" s="1"/>
  <c r="K997" i="41"/>
  <c r="J1002" i="41"/>
  <c r="M1002" i="41" s="1"/>
  <c r="K1002" i="41"/>
  <c r="J1007" i="41"/>
  <c r="M1007" i="41" s="1"/>
  <c r="K1007" i="41"/>
  <c r="J1012" i="41"/>
  <c r="M1012" i="41" s="1"/>
  <c r="K1012" i="4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J1077" i="41"/>
  <c r="M1077" i="41" s="1"/>
  <c r="K1077" i="41"/>
  <c r="J1082" i="41"/>
  <c r="M1082" i="41" s="1"/>
  <c r="K1082" i="41"/>
  <c r="J1087" i="41"/>
  <c r="M1087" i="41" s="1"/>
  <c r="K1087" i="41"/>
  <c r="J1092" i="41"/>
  <c r="M1092" i="41" s="1"/>
  <c r="K1092" i="41"/>
  <c r="J1097" i="41"/>
  <c r="M1097" i="41" s="1"/>
  <c r="K1097" i="41"/>
  <c r="J1102" i="41"/>
  <c r="M1102" i="41" s="1"/>
  <c r="K1102" i="41"/>
  <c r="J1107" i="41"/>
  <c r="M1107" i="41" s="1"/>
  <c r="K1107" i="41"/>
  <c r="J1112" i="41"/>
  <c r="M1112" i="41" s="1"/>
  <c r="K1112" i="41"/>
  <c r="J1117" i="41"/>
  <c r="M1117" i="41" s="1"/>
  <c r="K1117" i="41"/>
  <c r="J1122" i="41"/>
  <c r="M1122" i="41" s="1"/>
  <c r="K1122" i="4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J1162" i="41"/>
  <c r="M1162" i="41" s="1"/>
  <c r="K1162" i="4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J1187" i="41"/>
  <c r="M1187" i="41" s="1"/>
  <c r="K1187" i="41"/>
  <c r="J1192" i="41"/>
  <c r="M1192" i="41" s="1"/>
  <c r="K1192" i="41"/>
  <c r="J1197" i="41"/>
  <c r="M1197" i="41" s="1"/>
  <c r="K1197" i="41"/>
  <c r="J1202" i="41"/>
  <c r="M1202" i="41" s="1"/>
  <c r="K1202" i="41"/>
  <c r="J1207" i="41"/>
  <c r="M1207" i="41" s="1"/>
  <c r="K1207" i="41"/>
  <c r="J1212" i="41"/>
  <c r="M1212" i="41" s="1"/>
  <c r="K1212" i="41"/>
  <c r="J1217" i="41"/>
  <c r="M1217" i="41" s="1"/>
  <c r="K1217" i="41"/>
  <c r="J1222" i="41"/>
  <c r="M1222" i="41" s="1"/>
  <c r="K1222" i="41"/>
  <c r="J1227" i="41"/>
  <c r="M1227" i="41" s="1"/>
  <c r="K1227" i="41"/>
  <c r="J1232" i="41"/>
  <c r="M1232" i="41" s="1"/>
  <c r="K1232" i="41"/>
  <c r="J1237" i="41"/>
  <c r="M1237" i="41" s="1"/>
  <c r="K1237" i="41"/>
  <c r="J1242" i="41"/>
  <c r="M1242" i="41" s="1"/>
  <c r="K1242" i="41"/>
  <c r="J1247" i="41"/>
  <c r="M1247" i="41" s="1"/>
  <c r="K1247" i="41"/>
  <c r="J1252" i="41"/>
  <c r="M1252" i="41" s="1"/>
  <c r="K1252" i="4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J1287" i="41"/>
  <c r="M1287" i="41" s="1"/>
  <c r="K1287" i="41"/>
  <c r="J1292" i="41"/>
  <c r="M1292" i="41" s="1"/>
  <c r="K1292" i="41"/>
  <c r="J1297" i="41"/>
  <c r="M1297" i="41" s="1"/>
  <c r="K1297" i="41"/>
  <c r="J1302" i="41"/>
  <c r="M1302" i="41" s="1"/>
  <c r="K1302" i="41"/>
  <c r="J1307" i="41"/>
  <c r="M1307" i="41" s="1"/>
  <c r="K1307" i="41"/>
  <c r="J1312" i="41"/>
  <c r="M1312" i="41" s="1"/>
  <c r="K1312" i="41"/>
  <c r="J1317" i="41"/>
  <c r="M1317" i="41" s="1"/>
  <c r="K1317" i="41"/>
  <c r="J1322" i="41"/>
  <c r="M1322" i="41" s="1"/>
  <c r="K1322" i="4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J1357" i="41"/>
  <c r="M1357" i="41" s="1"/>
  <c r="K1357" i="41"/>
  <c r="J1362" i="41"/>
  <c r="M1362" i="41" s="1"/>
  <c r="K1362" i="4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J1397" i="41"/>
  <c r="M1397" i="41" s="1"/>
  <c r="K1397" i="41"/>
  <c r="J1402" i="41"/>
  <c r="M1402" i="41" s="1"/>
  <c r="K1402" i="41"/>
  <c r="J1407" i="41"/>
  <c r="M1407" i="41" s="1"/>
  <c r="K1407" i="41"/>
  <c r="J1412" i="41"/>
  <c r="M1412" i="41" s="1"/>
  <c r="K1412" i="41"/>
  <c r="J1417" i="41"/>
  <c r="M1417" i="41" s="1"/>
  <c r="K1417" i="41"/>
  <c r="J1422" i="41"/>
  <c r="M1422" i="41" s="1"/>
  <c r="K1422" i="41"/>
  <c r="J1427" i="41"/>
  <c r="M1427" i="41" s="1"/>
  <c r="K1427" i="41"/>
  <c r="J1432" i="41"/>
  <c r="M1432" i="41" s="1"/>
  <c r="K1432" i="41"/>
  <c r="J1437" i="41"/>
  <c r="M1437" i="41" s="1"/>
  <c r="K1437" i="41"/>
  <c r="J1442" i="41"/>
  <c r="M1442" i="41" s="1"/>
  <c r="K1442" i="41"/>
  <c r="J1447" i="41"/>
  <c r="M1447" i="41" s="1"/>
  <c r="K1447" i="41"/>
  <c r="J1452" i="41"/>
  <c r="M1452" i="41" s="1"/>
  <c r="K1452" i="4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J1477" i="41"/>
  <c r="M1477" i="41" s="1"/>
  <c r="K1477" i="41"/>
  <c r="J1482" i="41"/>
  <c r="M1482" i="41" s="1"/>
  <c r="K1482" i="4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J1517" i="41"/>
  <c r="M1517" i="41" s="1"/>
  <c r="K1517" i="41"/>
  <c r="J1522" i="41"/>
  <c r="M1522" i="41" s="1"/>
  <c r="K1522" i="41"/>
  <c r="J1527" i="41"/>
  <c r="M1527" i="41" s="1"/>
  <c r="K1527" i="41"/>
  <c r="J1532" i="41"/>
  <c r="M1532" i="41" s="1"/>
  <c r="K1532" i="4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J1562" i="41"/>
  <c r="M1562" i="41" s="1"/>
  <c r="K1562" i="41"/>
  <c r="J1567" i="41"/>
  <c r="M1567" i="41" s="1"/>
  <c r="K1567" i="41"/>
  <c r="J1572" i="41"/>
  <c r="M1572" i="41" s="1"/>
  <c r="K1572" i="41"/>
  <c r="J1577" i="41"/>
  <c r="M1577" i="41" s="1"/>
  <c r="K1577" i="41"/>
  <c r="J1582" i="41"/>
  <c r="M1582" i="41" s="1"/>
  <c r="K1582" i="41"/>
  <c r="J1587" i="41"/>
  <c r="M1587" i="41" s="1"/>
  <c r="K1587" i="41"/>
  <c r="J1592" i="41"/>
  <c r="M1592" i="41" s="1"/>
  <c r="K1592" i="41"/>
  <c r="J1597" i="41"/>
  <c r="M1597" i="41" s="1"/>
  <c r="K1597" i="41"/>
  <c r="J1602" i="41"/>
  <c r="M1602" i="41" s="1"/>
  <c r="K1602" i="41"/>
  <c r="J1607" i="41"/>
  <c r="M1607" i="41" s="1"/>
  <c r="K1607" i="41"/>
  <c r="J1612" i="41"/>
  <c r="M1612" i="41" s="1"/>
  <c r="K1612" i="41"/>
  <c r="J1617" i="41"/>
  <c r="M1617" i="41" s="1"/>
  <c r="K1617" i="41"/>
  <c r="J1622" i="41"/>
  <c r="M1622" i="41" s="1"/>
  <c r="K1622" i="41"/>
  <c r="J1627" i="41"/>
  <c r="M1627" i="41" s="1"/>
  <c r="K1627" i="41"/>
  <c r="J1632" i="41"/>
  <c r="M1632" i="41" s="1"/>
  <c r="K1632" i="41"/>
  <c r="J1637" i="41"/>
  <c r="M1637" i="41" s="1"/>
  <c r="K1637" i="41"/>
  <c r="J1642" i="41"/>
  <c r="M1642" i="41" s="1"/>
  <c r="K1642" i="41"/>
  <c r="J1647" i="41"/>
  <c r="M1647" i="41" s="1"/>
  <c r="K1647" i="41"/>
  <c r="J1652" i="41"/>
  <c r="M1652" i="41" s="1"/>
  <c r="K1652" i="41"/>
  <c r="J1657" i="41"/>
  <c r="M1657" i="41" s="1"/>
  <c r="K1657" i="41"/>
  <c r="J1662" i="41"/>
  <c r="M1662" i="41" s="1"/>
  <c r="K1662" i="41"/>
  <c r="J1667" i="41"/>
  <c r="M1667" i="41" s="1"/>
  <c r="K1667" i="41"/>
  <c r="J1672" i="41"/>
  <c r="M1672" i="41" s="1"/>
  <c r="K1672" i="41"/>
  <c r="J1677" i="41"/>
  <c r="M1677" i="41" s="1"/>
  <c r="K1677" i="41"/>
  <c r="J1682" i="41"/>
  <c r="M1682" i="41" s="1"/>
  <c r="K1682" i="41"/>
  <c r="J1687" i="41"/>
  <c r="M1687" i="41" s="1"/>
  <c r="K1687" i="41"/>
  <c r="J1692" i="41"/>
  <c r="M1692" i="41" s="1"/>
  <c r="K1692" i="4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J1717" i="41"/>
  <c r="M1717" i="41" s="1"/>
  <c r="K1717" i="41"/>
  <c r="J1722" i="41"/>
  <c r="M1722" i="41" s="1"/>
  <c r="K1722" i="41"/>
  <c r="J1727" i="41"/>
  <c r="M1727" i="41" s="1"/>
  <c r="K1727" i="41"/>
  <c r="J1732" i="41"/>
  <c r="M1732" i="41" s="1"/>
  <c r="K1732" i="41"/>
  <c r="J1737" i="41"/>
  <c r="M1737" i="41" s="1"/>
  <c r="K1737" i="41"/>
  <c r="J1742" i="41"/>
  <c r="M1742" i="41" s="1"/>
  <c r="K1742" i="41"/>
  <c r="J1747" i="41"/>
  <c r="M1747" i="41" s="1"/>
  <c r="K1747" i="41"/>
  <c r="J1752" i="41"/>
  <c r="M1752" i="41" s="1"/>
  <c r="K1752" i="41"/>
  <c r="J1757" i="41"/>
  <c r="M1757" i="41" s="1"/>
  <c r="K1757" i="41"/>
  <c r="J1762" i="41"/>
  <c r="M1762" i="41" s="1"/>
  <c r="K1762" i="4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J1797" i="41"/>
  <c r="M1797" i="41" s="1"/>
  <c r="K1797" i="41"/>
  <c r="J1802" i="41"/>
  <c r="M1802" i="41" s="1"/>
  <c r="K1802" i="41"/>
  <c r="J1807" i="41"/>
  <c r="M1807" i="41" s="1"/>
  <c r="K1807" i="41"/>
  <c r="J1812" i="41"/>
  <c r="M1812" i="41" s="1"/>
  <c r="K1812" i="4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J1837" i="41"/>
  <c r="M1837" i="41" s="1"/>
  <c r="K1837" i="41"/>
  <c r="J1842" i="41"/>
  <c r="M1842" i="41" s="1"/>
  <c r="K1842" i="41"/>
  <c r="J1847" i="41"/>
  <c r="M1847" i="41" s="1"/>
  <c r="K1847" i="41"/>
  <c r="J1852" i="41"/>
  <c r="M1852" i="41" s="1"/>
  <c r="K1852" i="41"/>
  <c r="J1857" i="41"/>
  <c r="M1857" i="41" s="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J1887" i="41"/>
  <c r="M1887" i="41" s="1"/>
  <c r="K1887" i="41"/>
  <c r="J1892" i="41"/>
  <c r="M1892" i="41" s="1"/>
  <c r="K1892" i="41"/>
  <c r="J1897" i="41"/>
  <c r="M1897" i="41" s="1"/>
  <c r="K1897" i="41"/>
  <c r="J1902" i="41"/>
  <c r="M1902" i="41" s="1"/>
  <c r="K1902" i="41"/>
  <c r="J1907" i="41"/>
  <c r="M1907" i="41" s="1"/>
  <c r="K1907" i="41"/>
  <c r="J1912" i="41"/>
  <c r="M1912" i="41" s="1"/>
  <c r="K1912" i="41"/>
  <c r="J1917" i="41"/>
  <c r="M1917" i="41" s="1"/>
  <c r="K1917" i="41"/>
  <c r="J1922" i="41"/>
  <c r="M1922" i="41" s="1"/>
  <c r="K1922" i="41"/>
  <c r="J1927" i="41"/>
  <c r="M1927" i="41" s="1"/>
  <c r="K1927" i="41"/>
  <c r="J1932" i="41"/>
  <c r="M1932" i="41" s="1"/>
  <c r="K1932" i="41"/>
  <c r="J1937" i="41"/>
  <c r="M1937" i="41" s="1"/>
  <c r="K1937" i="41"/>
  <c r="J1942" i="41"/>
  <c r="M1942" i="41" s="1"/>
  <c r="K1942" i="41"/>
  <c r="J1947" i="41"/>
  <c r="M1947" i="41" s="1"/>
  <c r="K1947" i="41"/>
  <c r="J1952" i="41"/>
  <c r="M1952" i="41" s="1"/>
  <c r="K1952" i="41"/>
  <c r="J1957" i="41"/>
  <c r="M1957" i="41" s="1"/>
  <c r="K1957" i="4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J1997" i="41"/>
  <c r="M1997" i="41" s="1"/>
  <c r="K1997" i="41"/>
  <c r="J2002" i="41"/>
  <c r="M2002" i="41" s="1"/>
  <c r="K2002" i="41"/>
  <c r="J2007" i="41"/>
  <c r="M2007" i="41" s="1"/>
  <c r="K2007" i="41"/>
  <c r="J2012" i="41"/>
  <c r="M2012" i="41" s="1"/>
  <c r="K2012" i="41"/>
  <c r="J2017" i="41"/>
  <c r="M2017" i="41" s="1"/>
  <c r="K2017" i="41"/>
  <c r="J2022" i="41"/>
  <c r="M2022" i="41" s="1"/>
  <c r="K2022" i="41"/>
  <c r="J2027" i="41"/>
  <c r="M2027" i="41" s="1"/>
  <c r="K2027" i="41"/>
  <c r="J2032" i="41"/>
  <c r="M2032" i="41" s="1"/>
  <c r="K2032" i="41"/>
  <c r="J2037" i="41"/>
  <c r="M2037" i="41" s="1"/>
  <c r="K2037" i="41"/>
  <c r="J2042" i="41"/>
  <c r="M2042" i="41" s="1"/>
  <c r="K2042" i="41"/>
  <c r="J2047" i="41"/>
  <c r="M2047" i="41" s="1"/>
  <c r="K2047" i="41"/>
  <c r="J2052" i="41"/>
  <c r="M2052" i="41" s="1"/>
  <c r="K2052" i="4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M2077" i="41" s="1"/>
  <c r="K2077" i="41"/>
  <c r="J2082" i="41"/>
  <c r="M2082" i="41" s="1"/>
  <c r="K2082" i="41"/>
  <c r="J2087" i="41"/>
  <c r="M2087" i="41" s="1"/>
  <c r="K2087" i="41"/>
  <c r="J2092" i="41"/>
  <c r="M2092" i="41" s="1"/>
  <c r="K2092" i="41"/>
  <c r="J2097" i="41"/>
  <c r="M2097" i="41" s="1"/>
  <c r="K2097" i="41"/>
  <c r="J2102" i="41"/>
  <c r="M2102" i="41" s="1"/>
  <c r="K2102" i="41"/>
  <c r="J2107" i="41"/>
  <c r="M2107" i="41" s="1"/>
  <c r="K2107" i="41"/>
  <c r="J2112" i="41"/>
  <c r="M2112" i="41" s="1"/>
  <c r="K2112" i="41"/>
  <c r="J2117" i="41"/>
  <c r="M2117" i="41" s="1"/>
  <c r="K2117" i="41"/>
  <c r="J2122" i="41"/>
  <c r="M2122" i="41" s="1"/>
  <c r="K2122" i="4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J2157" i="41"/>
  <c r="M2157" i="41" s="1"/>
  <c r="K2157" i="41"/>
  <c r="J2162" i="41"/>
  <c r="M2162" i="41" s="1"/>
  <c r="K2162" i="41"/>
  <c r="J2167" i="41"/>
  <c r="M2167" i="41" s="1"/>
  <c r="K2167" i="41"/>
  <c r="J2172" i="41"/>
  <c r="M2172" i="41" s="1"/>
  <c r="K2172" i="41"/>
  <c r="J2177" i="41"/>
  <c r="M2177" i="41" s="1"/>
  <c r="K2177" i="41"/>
  <c r="J2182" i="41"/>
  <c r="M2182" i="41" s="1"/>
  <c r="K2182" i="41"/>
  <c r="J2187" i="41"/>
  <c r="M2187" i="41" s="1"/>
  <c r="K2187" i="41"/>
  <c r="J2192" i="41"/>
  <c r="M2192" i="41" s="1"/>
  <c r="K2192" i="41"/>
  <c r="J2197" i="41"/>
  <c r="M2197" i="41" s="1"/>
  <c r="K2197" i="41"/>
  <c r="J2202" i="41"/>
  <c r="M2202" i="41" s="1"/>
  <c r="K2202" i="41"/>
  <c r="J2207" i="41"/>
  <c r="M2207" i="41" s="1"/>
  <c r="K2207" i="41"/>
  <c r="J2212" i="41"/>
  <c r="M2212" i="41" s="1"/>
  <c r="K2212" i="41"/>
  <c r="J2217" i="41"/>
  <c r="M2217" i="41" s="1"/>
  <c r="K2217" i="41"/>
  <c r="J2222" i="41"/>
  <c r="M2222" i="41" s="1"/>
  <c r="K2222" i="41"/>
  <c r="J2227" i="41"/>
  <c r="M2227" i="41" s="1"/>
  <c r="K2227" i="41"/>
  <c r="J2232" i="41"/>
  <c r="M2232" i="41" s="1"/>
  <c r="K2232" i="41"/>
  <c r="J2237" i="41"/>
  <c r="M2237" i="41" s="1"/>
  <c r="K2237" i="41"/>
  <c r="J2242" i="41"/>
  <c r="M2242" i="41" s="1"/>
  <c r="K2242" i="41"/>
  <c r="J2247" i="41"/>
  <c r="M2247" i="41" s="1"/>
  <c r="K2247" i="41"/>
  <c r="J2252" i="41"/>
  <c r="M2252" i="41" s="1"/>
  <c r="K2252" i="4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J2277" i="41"/>
  <c r="M2277" i="41" s="1"/>
  <c r="K2277" i="41"/>
  <c r="J2282" i="41"/>
  <c r="M2282" i="41" s="1"/>
  <c r="K2282" i="41"/>
  <c r="J2287" i="41"/>
  <c r="M2287" i="41" s="1"/>
  <c r="K2287" i="4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J2317" i="41"/>
  <c r="M2317" i="41" s="1"/>
  <c r="K2317" i="41"/>
  <c r="J2322" i="41"/>
  <c r="M2322" i="41" s="1"/>
  <c r="K2322" i="41"/>
  <c r="J2327" i="41"/>
  <c r="M2327" i="41" s="1"/>
  <c r="K2327" i="41"/>
  <c r="J2332" i="41"/>
  <c r="M2332" i="41" s="1"/>
  <c r="K2332" i="41"/>
  <c r="J2337" i="41"/>
  <c r="M2337" i="41" s="1"/>
  <c r="J2342" i="41"/>
  <c r="M2342" i="41" s="1"/>
  <c r="K2342" i="41"/>
  <c r="J2347" i="41"/>
  <c r="M2347" i="41" s="1"/>
  <c r="K2347" i="41"/>
  <c r="J2352" i="41"/>
  <c r="M2352" i="41" s="1"/>
  <c r="K2352" i="41"/>
  <c r="J2357" i="41"/>
  <c r="M2357" i="41" s="1"/>
  <c r="K2357" i="41"/>
  <c r="J2362" i="41"/>
  <c r="M2362" i="41" s="1"/>
  <c r="K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J2387" i="41"/>
  <c r="M2387" i="41" s="1"/>
  <c r="K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L117" i="41" s="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L917" i="41" s="1"/>
  <c r="I922" i="41"/>
  <c r="I927" i="41"/>
  <c r="I932" i="41"/>
  <c r="L932" i="41" s="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L997" i="41" s="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L1247" i="41" s="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L1317" i="41" s="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L2312" i="41" s="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K2" i="41"/>
  <c r="I2" i="41"/>
  <c r="AI10" i="41"/>
  <c r="L1672" i="41" l="1"/>
  <c r="N1672" i="41" s="1"/>
  <c r="L1192" i="41"/>
  <c r="N227" i="41"/>
  <c r="L1512" i="41"/>
  <c r="L1372" i="41"/>
  <c r="N1372" i="41" s="1"/>
  <c r="L1212" i="41"/>
  <c r="N1212" i="41" s="1"/>
  <c r="L1052" i="41"/>
  <c r="L2112" i="41"/>
  <c r="N2112" i="41" s="1"/>
  <c r="L1832" i="41"/>
  <c r="N1832" i="41" s="1"/>
  <c r="L1712" i="41"/>
  <c r="L357" i="41"/>
  <c r="L2362" i="41"/>
  <c r="L2117" i="41"/>
  <c r="L2047" i="41"/>
  <c r="L1847" i="41"/>
  <c r="N1847" i="41" s="1"/>
  <c r="L272" i="41"/>
  <c r="L232" i="41"/>
  <c r="N232" i="41" s="1"/>
  <c r="L192" i="41"/>
  <c r="V1737" i="41"/>
  <c r="X1737" i="41" s="1"/>
  <c r="V1641" i="41"/>
  <c r="X1641" i="41" s="1"/>
  <c r="L2082" i="41"/>
  <c r="N2082" i="41" s="1"/>
  <c r="L1902" i="41"/>
  <c r="L1742" i="41"/>
  <c r="L262" i="41"/>
  <c r="L42" i="41"/>
  <c r="N42" i="41" s="1"/>
  <c r="L1157" i="41"/>
  <c r="L2387" i="41"/>
  <c r="N2387" i="41" s="1"/>
  <c r="L2357" i="41"/>
  <c r="L2277" i="41"/>
  <c r="N2277" i="41" s="1"/>
  <c r="L2217" i="41"/>
  <c r="L2197" i="41"/>
  <c r="L2157" i="41"/>
  <c r="L1582" i="41"/>
  <c r="N1582" i="41" s="1"/>
  <c r="L1562" i="41"/>
  <c r="N1562" i="41" s="1"/>
  <c r="L1522" i="41"/>
  <c r="L1482" i="41"/>
  <c r="L1442" i="41"/>
  <c r="N1442" i="41" s="1"/>
  <c r="L1422" i="41"/>
  <c r="N1422" i="41" s="1"/>
  <c r="L1362" i="41"/>
  <c r="L1322" i="41"/>
  <c r="L1302" i="41"/>
  <c r="L1282" i="41"/>
  <c r="L1232" i="41"/>
  <c r="L597" i="41"/>
  <c r="L437" i="41"/>
  <c r="N437" i="41" s="1"/>
  <c r="L397" i="41"/>
  <c r="L1942" i="41"/>
  <c r="L1937" i="41"/>
  <c r="N1937" i="41" s="1"/>
  <c r="L1797" i="41"/>
  <c r="L1757" i="41"/>
  <c r="L1112" i="41"/>
  <c r="L1102" i="41"/>
  <c r="L2102" i="41"/>
  <c r="N2102" i="41" s="1"/>
  <c r="L1922" i="41"/>
  <c r="N1922" i="41" s="1"/>
  <c r="L1882" i="41"/>
  <c r="N1882" i="41" s="1"/>
  <c r="L62" i="41"/>
  <c r="L1992" i="41"/>
  <c r="N1992" i="41" s="1"/>
  <c r="L1852" i="41"/>
  <c r="L1997" i="41"/>
  <c r="N2207" i="41"/>
  <c r="L2027" i="41"/>
  <c r="N2027" i="41" s="1"/>
  <c r="L1887" i="41"/>
  <c r="L1707" i="41"/>
  <c r="N1567" i="41"/>
  <c r="L1067" i="41"/>
  <c r="L2382" i="41"/>
  <c r="N2382" i="41" s="1"/>
  <c r="L1617" i="41"/>
  <c r="L1577" i="41"/>
  <c r="L1417" i="41"/>
  <c r="L882" i="41"/>
  <c r="L862" i="41"/>
  <c r="L842" i="41"/>
  <c r="N842" i="41" s="1"/>
  <c r="L802" i="41"/>
  <c r="N802" i="41" s="1"/>
  <c r="L662" i="41"/>
  <c r="N662" i="41" s="1"/>
  <c r="L642" i="41"/>
  <c r="L622" i="41"/>
  <c r="L602" i="41"/>
  <c r="N602" i="41" s="1"/>
  <c r="L592" i="41"/>
  <c r="N592" i="41" s="1"/>
  <c r="L582" i="41"/>
  <c r="L552" i="41"/>
  <c r="N552" i="41" s="1"/>
  <c r="L512" i="41"/>
  <c r="N512" i="41" s="1"/>
  <c r="L472" i="41"/>
  <c r="V1713" i="41"/>
  <c r="X1713" i="41" s="1"/>
  <c r="V1705" i="41"/>
  <c r="X1705" i="41" s="1"/>
  <c r="V1649" i="41"/>
  <c r="X1649" i="41" s="1"/>
  <c r="V1597" i="41"/>
  <c r="X1597" i="41" s="1"/>
  <c r="Q2362" i="41"/>
  <c r="Q2354" i="41"/>
  <c r="Q2266" i="41"/>
  <c r="Q2242" i="41"/>
  <c r="Q2194" i="41"/>
  <c r="Q2146" i="41"/>
  <c r="Q2130" i="41"/>
  <c r="Q2114" i="41"/>
  <c r="Q2098" i="41"/>
  <c r="Q2066" i="41"/>
  <c r="Q2034" i="41"/>
  <c r="Q2018" i="41"/>
  <c r="Q2002" i="41"/>
  <c r="Q1986" i="41"/>
  <c r="Q1978" i="41"/>
  <c r="Q1946" i="41"/>
  <c r="Q1938" i="41"/>
  <c r="Q1914" i="41"/>
  <c r="Q1906" i="41"/>
  <c r="Q1890" i="41"/>
  <c r="Q1874" i="41"/>
  <c r="Q1866" i="41"/>
  <c r="Q1810" i="41"/>
  <c r="Q1802" i="41"/>
  <c r="Q1794" i="41"/>
  <c r="Q1778" i="41"/>
  <c r="Q1770" i="41"/>
  <c r="Q1746" i="41"/>
  <c r="Q1738" i="41"/>
  <c r="Q1730" i="41"/>
  <c r="Q1706" i="41"/>
  <c r="Q1698" i="41"/>
  <c r="Q1682" i="41"/>
  <c r="Q1674" i="41"/>
  <c r="Q1634" i="41"/>
  <c r="Q1618" i="41"/>
  <c r="Q1610" i="41"/>
  <c r="Q1602" i="41"/>
  <c r="Q1594" i="41"/>
  <c r="Q1562" i="41"/>
  <c r="Q1554" i="41"/>
  <c r="Q1546" i="41"/>
  <c r="Q1530" i="41"/>
  <c r="Q1522" i="41"/>
  <c r="Q1514" i="41"/>
  <c r="Q1506" i="41"/>
  <c r="Q1498" i="41"/>
  <c r="Q1490" i="41"/>
  <c r="Q1466" i="41"/>
  <c r="Q1410" i="41"/>
  <c r="Q1402" i="41"/>
  <c r="Q1378" i="41"/>
  <c r="Q1362" i="41"/>
  <c r="Q1354" i="41"/>
  <c r="Q1338" i="41"/>
  <c r="Q1322" i="41"/>
  <c r="Q1314" i="41"/>
  <c r="Q1306" i="41"/>
  <c r="Q1298" i="41"/>
  <c r="Q1274" i="41"/>
  <c r="Q1258" i="41"/>
  <c r="Q1242" i="41"/>
  <c r="Q1234" i="41"/>
  <c r="Q1226" i="41"/>
  <c r="Q1202" i="41"/>
  <c r="Q1186" i="41"/>
  <c r="Q1178" i="41"/>
  <c r="L692" i="41"/>
  <c r="V1206" i="41"/>
  <c r="X1206" i="41" s="1"/>
  <c r="V1174" i="41"/>
  <c r="X1174" i="41" s="1"/>
  <c r="V1142" i="41"/>
  <c r="X1142" i="41" s="1"/>
  <c r="V1046" i="41"/>
  <c r="X1046" i="41" s="1"/>
  <c r="V982" i="41"/>
  <c r="X982" i="41" s="1"/>
  <c r="V918" i="41"/>
  <c r="X918" i="41" s="1"/>
  <c r="V886" i="41"/>
  <c r="X886" i="41" s="1"/>
  <c r="V790" i="41"/>
  <c r="X790" i="41" s="1"/>
  <c r="V726" i="41"/>
  <c r="X726" i="41" s="1"/>
  <c r="V694" i="41"/>
  <c r="X694" i="41" s="1"/>
  <c r="V662" i="41"/>
  <c r="X662" i="41" s="1"/>
  <c r="L1477" i="41"/>
  <c r="N1477" i="41" s="1"/>
  <c r="L1397" i="41"/>
  <c r="L1357" i="41"/>
  <c r="L292" i="41"/>
  <c r="N292" i="41" s="1"/>
  <c r="L212" i="41"/>
  <c r="V1238" i="41"/>
  <c r="X1238" i="41" s="1"/>
  <c r="V950" i="41"/>
  <c r="X950" i="41" s="1"/>
  <c r="L1692" i="41"/>
  <c r="N1692" i="41" s="1"/>
  <c r="N1247" i="41"/>
  <c r="L2" i="41"/>
  <c r="L2332" i="41"/>
  <c r="N2332" i="41" s="1"/>
  <c r="N2157" i="41"/>
  <c r="L1812" i="41"/>
  <c r="N1812" i="41" s="1"/>
  <c r="L532" i="41"/>
  <c r="L492" i="41"/>
  <c r="N492" i="41" s="1"/>
  <c r="L452" i="41"/>
  <c r="N452" i="41" s="1"/>
  <c r="L317" i="41"/>
  <c r="X2389" i="41"/>
  <c r="X2381" i="41"/>
  <c r="X2373" i="41"/>
  <c r="X2365" i="41"/>
  <c r="X2357" i="41"/>
  <c r="X2349" i="41"/>
  <c r="X2341" i="41"/>
  <c r="X2333" i="41"/>
  <c r="X2325" i="41"/>
  <c r="X2317" i="41"/>
  <c r="X2309" i="41"/>
  <c r="X2301" i="41"/>
  <c r="X2293" i="41"/>
  <c r="X2285" i="41"/>
  <c r="X2277" i="41"/>
  <c r="X2269" i="41"/>
  <c r="X2261" i="41"/>
  <c r="X2253" i="41"/>
  <c r="X2245" i="41"/>
  <c r="X2237" i="41"/>
  <c r="X2229" i="41"/>
  <c r="X2221" i="41"/>
  <c r="X2213" i="41"/>
  <c r="X2205" i="41"/>
  <c r="X2197" i="41"/>
  <c r="X2189" i="41"/>
  <c r="X2181" i="41"/>
  <c r="X2173" i="41"/>
  <c r="X2165" i="41"/>
  <c r="X2157" i="41"/>
  <c r="X2149" i="41"/>
  <c r="X2141" i="41"/>
  <c r="X2133" i="41"/>
  <c r="X2125" i="41"/>
  <c r="L1602" i="41"/>
  <c r="N1602" i="41" s="1"/>
  <c r="L2352" i="41"/>
  <c r="N2352" i="41" s="1"/>
  <c r="L2272" i="41"/>
  <c r="L2252" i="41"/>
  <c r="L2232" i="41"/>
  <c r="N2232" i="41" s="1"/>
  <c r="L2212" i="41"/>
  <c r="L2192" i="41"/>
  <c r="N2192" i="41" s="1"/>
  <c r="L2152" i="41"/>
  <c r="N2152" i="41" s="1"/>
  <c r="N2117" i="41"/>
  <c r="L1792" i="41"/>
  <c r="N1792" i="41" s="1"/>
  <c r="L1752" i="41"/>
  <c r="L1637" i="41"/>
  <c r="N1617" i="41"/>
  <c r="L1597" i="41"/>
  <c r="L1557" i="41"/>
  <c r="L922" i="41"/>
  <c r="N922" i="41" s="1"/>
  <c r="L432" i="41"/>
  <c r="N432" i="41" s="1"/>
  <c r="L392" i="41"/>
  <c r="N392" i="41" s="1"/>
  <c r="L2287" i="41"/>
  <c r="N2287" i="41" s="1"/>
  <c r="L1632" i="41"/>
  <c r="L52" i="41"/>
  <c r="N52" i="41" s="1"/>
  <c r="L2087" i="41"/>
  <c r="N2087" i="41" s="1"/>
  <c r="L1032" i="41"/>
  <c r="N1032" i="41" s="1"/>
  <c r="L2052" i="41"/>
  <c r="L1612" i="41"/>
  <c r="N1612" i="41" s="1"/>
  <c r="N1397" i="41"/>
  <c r="L957" i="41"/>
  <c r="N957" i="41" s="1"/>
  <c r="L1227" i="41"/>
  <c r="N1227" i="41" s="1"/>
  <c r="L947" i="41"/>
  <c r="L787" i="41"/>
  <c r="L707" i="41"/>
  <c r="N707" i="41" s="1"/>
  <c r="L627" i="41"/>
  <c r="N627" i="41" s="1"/>
  <c r="L547" i="41"/>
  <c r="N547" i="41" s="1"/>
  <c r="L467" i="41"/>
  <c r="L2322" i="41"/>
  <c r="L2032" i="41"/>
  <c r="N2032" i="41" s="1"/>
  <c r="L2012" i="41"/>
  <c r="N2012" i="41" s="1"/>
  <c r="L1917" i="41"/>
  <c r="L1727" i="41"/>
  <c r="N1727" i="41" s="1"/>
  <c r="L1472" i="41"/>
  <c r="N1472" i="41" s="1"/>
  <c r="L1452" i="41"/>
  <c r="N1452" i="41" s="1"/>
  <c r="L1432" i="41"/>
  <c r="L1412" i="41"/>
  <c r="L1392" i="41"/>
  <c r="N1392" i="41" s="1"/>
  <c r="L1352" i="41"/>
  <c r="L1012" i="41"/>
  <c r="L877" i="41"/>
  <c r="L562" i="41"/>
  <c r="N562" i="41" s="1"/>
  <c r="L2062" i="41"/>
  <c r="N2062" i="41" s="1"/>
  <c r="L1262" i="41"/>
  <c r="L2342" i="41"/>
  <c r="N2342" i="41" s="1"/>
  <c r="L2282" i="41"/>
  <c r="N2282" i="41" s="1"/>
  <c r="L2242" i="41"/>
  <c r="N2242" i="41" s="1"/>
  <c r="L2222" i="41"/>
  <c r="L2162" i="41"/>
  <c r="N2162" i="41" s="1"/>
  <c r="L2122" i="41"/>
  <c r="N2122" i="41" s="1"/>
  <c r="L1952" i="41"/>
  <c r="L1762" i="41"/>
  <c r="N1762" i="41" s="1"/>
  <c r="L1647" i="41"/>
  <c r="N1647" i="41" s="1"/>
  <c r="L1527" i="41"/>
  <c r="N1527" i="41" s="1"/>
  <c r="L1312" i="41"/>
  <c r="L1182" i="41"/>
  <c r="N1182" i="41" s="1"/>
  <c r="L1162" i="41"/>
  <c r="N1162" i="41" s="1"/>
  <c r="L1087" i="41"/>
  <c r="N1087" i="41" s="1"/>
  <c r="L992" i="41"/>
  <c r="N992" i="41" s="1"/>
  <c r="L952" i="41"/>
  <c r="L677" i="41"/>
  <c r="L637" i="41"/>
  <c r="L362" i="41"/>
  <c r="N362" i="41" s="1"/>
  <c r="L2247" i="41"/>
  <c r="N2247" i="41" s="1"/>
  <c r="L1957" i="41"/>
  <c r="N1957" i="41" s="1"/>
  <c r="L1652" i="41"/>
  <c r="L1592" i="41"/>
  <c r="N1592" i="41" s="1"/>
  <c r="L1532" i="41"/>
  <c r="N1532" i="41" s="1"/>
  <c r="L1072" i="41"/>
  <c r="L1912" i="41"/>
  <c r="N1912" i="41" s="1"/>
  <c r="L1722" i="41"/>
  <c r="L1447" i="41"/>
  <c r="N1447" i="41" s="1"/>
  <c r="L1407" i="41"/>
  <c r="L1252" i="41"/>
  <c r="L1197" i="41"/>
  <c r="N1197" i="41" s="1"/>
  <c r="L1122" i="41"/>
  <c r="N1122" i="41" s="1"/>
  <c r="L772" i="41"/>
  <c r="L752" i="41"/>
  <c r="N752" i="41" s="1"/>
  <c r="L732" i="41"/>
  <c r="N732" i="41" s="1"/>
  <c r="L712" i="41"/>
  <c r="N712" i="41" s="1"/>
  <c r="L322" i="41"/>
  <c r="N322" i="41" s="1"/>
  <c r="L282" i="41"/>
  <c r="N282" i="41" s="1"/>
  <c r="L242" i="41"/>
  <c r="N242" i="41" s="1"/>
  <c r="Q351" i="41"/>
  <c r="Q223" i="41"/>
  <c r="Q159" i="41"/>
  <c r="Q95" i="41"/>
  <c r="Q15" i="41"/>
  <c r="X2387" i="41"/>
  <c r="X2379" i="41"/>
  <c r="X2371" i="41"/>
  <c r="X2363" i="41"/>
  <c r="X2355" i="41"/>
  <c r="X2347" i="41"/>
  <c r="X2339" i="41"/>
  <c r="X2331" i="41"/>
  <c r="X2323" i="41"/>
  <c r="X2315" i="41"/>
  <c r="X2307" i="41"/>
  <c r="X2299" i="41"/>
  <c r="X2291" i="41"/>
  <c r="X2283" i="41"/>
  <c r="X2275" i="41"/>
  <c r="X2267" i="41"/>
  <c r="X2259" i="41"/>
  <c r="X2251" i="41"/>
  <c r="X2243" i="41"/>
  <c r="X2235" i="41"/>
  <c r="X2227" i="41"/>
  <c r="X2219" i="41"/>
  <c r="X2211" i="41"/>
  <c r="X2203" i="41"/>
  <c r="X2195" i="41"/>
  <c r="X2187" i="41"/>
  <c r="X2179" i="41"/>
  <c r="X2171" i="41"/>
  <c r="X2163" i="41"/>
  <c r="X2155" i="41"/>
  <c r="X2147" i="41"/>
  <c r="X2139" i="41"/>
  <c r="X2131" i="41"/>
  <c r="L77" i="41"/>
  <c r="N77" i="41" s="1"/>
  <c r="L37" i="41"/>
  <c r="N37" i="41" s="1"/>
  <c r="L172" i="41"/>
  <c r="N172" i="41" s="1"/>
  <c r="L152" i="41"/>
  <c r="N152" i="41" s="1"/>
  <c r="L132" i="41"/>
  <c r="N132" i="41" s="1"/>
  <c r="X2391" i="41"/>
  <c r="X2383" i="41"/>
  <c r="X2375" i="41"/>
  <c r="X2367" i="41"/>
  <c r="X2359" i="41"/>
  <c r="X2351" i="41"/>
  <c r="X2343" i="41"/>
  <c r="X2335" i="41"/>
  <c r="X2327" i="41"/>
  <c r="X2319" i="41"/>
  <c r="X2311" i="41"/>
  <c r="X2303" i="41"/>
  <c r="X2295" i="41"/>
  <c r="X2287" i="41"/>
  <c r="X2279" i="41"/>
  <c r="X2271" i="41"/>
  <c r="X2263" i="41"/>
  <c r="X2255" i="41"/>
  <c r="X2247" i="41"/>
  <c r="X2239" i="41"/>
  <c r="X2231" i="41"/>
  <c r="X2223" i="41"/>
  <c r="X2215" i="41"/>
  <c r="X2207" i="41"/>
  <c r="X2199" i="41"/>
  <c r="X2191" i="41"/>
  <c r="X2183" i="41"/>
  <c r="X2175" i="41"/>
  <c r="X2167" i="41"/>
  <c r="X2159" i="41"/>
  <c r="X2151" i="41"/>
  <c r="X2143" i="41"/>
  <c r="X2135" i="41"/>
  <c r="X2127" i="41"/>
  <c r="L1467" i="41"/>
  <c r="N1467" i="41" s="1"/>
  <c r="N1887" i="41"/>
  <c r="N1757" i="41"/>
  <c r="L67" i="41"/>
  <c r="N67" i="41" s="1"/>
  <c r="L1867" i="41"/>
  <c r="N1867" i="41" s="1"/>
  <c r="L86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L587" i="41"/>
  <c r="N587" i="41" s="1"/>
  <c r="L2377" i="41"/>
  <c r="N2377" i="41" s="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N1702" i="41" s="1"/>
  <c r="L1667" i="41"/>
  <c r="N1557" i="41"/>
  <c r="L1502" i="41"/>
  <c r="N1502" i="41" s="1"/>
  <c r="L1427" i="41"/>
  <c r="L1137" i="41"/>
  <c r="N1137" i="41" s="1"/>
  <c r="N862" i="41"/>
  <c r="L747" i="41"/>
  <c r="L412" i="41"/>
  <c r="N412" i="41" s="1"/>
  <c r="L17" i="41"/>
  <c r="N17" i="41" s="1"/>
  <c r="N2312" i="41"/>
  <c r="L2202" i="41"/>
  <c r="N2202" i="41" s="1"/>
  <c r="L2167" i="41"/>
  <c r="N2167" i="41" s="1"/>
  <c r="L2092" i="41"/>
  <c r="L2057" i="41"/>
  <c r="N2057" i="41" s="1"/>
  <c r="L1892" i="41"/>
  <c r="N1892" i="41" s="1"/>
  <c r="L1822" i="41"/>
  <c r="N1822" i="41" s="1"/>
  <c r="L1802" i="41"/>
  <c r="N1802" i="41" s="1"/>
  <c r="L1677" i="41"/>
  <c r="N1677" i="41" s="1"/>
  <c r="L1622" i="41"/>
  <c r="N1622" i="41" s="1"/>
  <c r="N1512" i="41"/>
  <c r="L1457" i="41"/>
  <c r="N1457" i="41" s="1"/>
  <c r="L1367" i="41"/>
  <c r="N1367" i="41" s="1"/>
  <c r="L1292" i="41"/>
  <c r="N1292" i="41" s="1"/>
  <c r="L1257" i="41"/>
  <c r="N1257" i="41" s="1"/>
  <c r="L1222" i="41"/>
  <c r="N1222" i="41" s="1"/>
  <c r="L2347" i="41"/>
  <c r="N2347" i="41" s="1"/>
  <c r="L2292" i="41"/>
  <c r="L2237" i="41"/>
  <c r="N2237" i="41" s="1"/>
  <c r="L2182" i="41"/>
  <c r="N2182" i="41" s="1"/>
  <c r="L2072" i="41"/>
  <c r="N2072" i="41" s="1"/>
  <c r="L2037" i="41"/>
  <c r="N2037" i="41" s="1"/>
  <c r="L1982" i="41"/>
  <c r="N1982" i="41" s="1"/>
  <c r="L1962" i="41"/>
  <c r="N1962" i="41" s="1"/>
  <c r="L1907" i="41"/>
  <c r="N1907" i="41" s="1"/>
  <c r="L1872" i="41"/>
  <c r="N1872" i="41" s="1"/>
  <c r="L1837" i="41"/>
  <c r="N1837" i="41" s="1"/>
  <c r="L1782" i="41"/>
  <c r="N1782" i="41" s="1"/>
  <c r="L1492" i="41"/>
  <c r="N1492" i="41" s="1"/>
  <c r="L1437" i="41"/>
  <c r="N1437" i="41" s="1"/>
  <c r="L1402" i="41"/>
  <c r="N1402" i="41" s="1"/>
  <c r="L1382" i="41"/>
  <c r="N1382" i="41" s="1"/>
  <c r="L1347" i="41"/>
  <c r="L1327" i="41"/>
  <c r="N1327" i="41" s="1"/>
  <c r="L1272" i="41"/>
  <c r="N1272" i="41" s="1"/>
  <c r="L1237" i="41"/>
  <c r="N1237" i="41" s="1"/>
  <c r="L1202" i="41"/>
  <c r="N1202" i="41" s="1"/>
  <c r="L1147" i="41"/>
  <c r="L1127" i="41"/>
  <c r="N1127" i="41" s="1"/>
  <c r="L1092" i="41"/>
  <c r="N1092" i="41" s="1"/>
  <c r="L1037" i="41"/>
  <c r="N1037" i="41" s="1"/>
  <c r="L982" i="41"/>
  <c r="N982" i="41" s="1"/>
  <c r="L962" i="41"/>
  <c r="L942" i="41"/>
  <c r="N942" i="41" s="1"/>
  <c r="L907" i="41"/>
  <c r="N907" i="41" s="1"/>
  <c r="L832" i="41"/>
  <c r="N832" i="41" s="1"/>
  <c r="L812" i="41"/>
  <c r="N812" i="41" s="1"/>
  <c r="L792" i="41"/>
  <c r="N792" i="41" s="1"/>
  <c r="L737" i="41"/>
  <c r="N737" i="41" s="1"/>
  <c r="L717" i="41"/>
  <c r="N717" i="41" s="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N82" i="41" s="1"/>
  <c r="L2337" i="41"/>
  <c r="L2307" i="41"/>
  <c r="N2307" i="41" s="1"/>
  <c r="N2252" i="41"/>
  <c r="N2217" i="41"/>
  <c r="N2197" i="41"/>
  <c r="L2142" i="41"/>
  <c r="N2142" i="41" s="1"/>
  <c r="L2067" i="41"/>
  <c r="N2067" i="41" s="1"/>
  <c r="N1942" i="41"/>
  <c r="L1777" i="41"/>
  <c r="N1777" i="41" s="1"/>
  <c r="L1542" i="41"/>
  <c r="N1417" i="41"/>
  <c r="L1342" i="41"/>
  <c r="N1342" i="41" s="1"/>
  <c r="N1322" i="41"/>
  <c r="L1267" i="41"/>
  <c r="N1252" i="41"/>
  <c r="N1232" i="41"/>
  <c r="L1142" i="41"/>
  <c r="N1142" i="41" s="1"/>
  <c r="L977" i="41"/>
  <c r="L902" i="41"/>
  <c r="N902" i="41" s="1"/>
  <c r="N882" i="41"/>
  <c r="N772" i="41"/>
  <c r="N532" i="41"/>
  <c r="L417" i="41"/>
  <c r="N417" i="41" s="1"/>
  <c r="L342" i="41"/>
  <c r="N342" i="41" s="1"/>
  <c r="L302" i="41"/>
  <c r="N302" i="41" s="1"/>
  <c r="N212" i="41"/>
  <c r="L97" i="41"/>
  <c r="N97" i="41" s="1"/>
  <c r="N62" i="41"/>
  <c r="L22" i="41"/>
  <c r="N22" i="41" s="1"/>
  <c r="Q415" i="41"/>
  <c r="V1859" i="41"/>
  <c r="X1859" i="41" s="1"/>
  <c r="V1835" i="41"/>
  <c r="X1835" i="41" s="1"/>
  <c r="V1811" i="41"/>
  <c r="X1811" i="41" s="1"/>
  <c r="V1795" i="41"/>
  <c r="X1795" i="41" s="1"/>
  <c r="V1779" i="41"/>
  <c r="X1779" i="41" s="1"/>
  <c r="V1755" i="41"/>
  <c r="X1755" i="41" s="1"/>
  <c r="V1731" i="41"/>
  <c r="X1731" i="41" s="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227" i="41" s="1"/>
  <c r="L1972" i="41"/>
  <c r="N1972" i="41" s="1"/>
  <c r="N1902" i="41"/>
  <c r="L1772" i="41"/>
  <c r="N1577" i="41"/>
  <c r="N1357" i="41"/>
  <c r="N1302" i="41"/>
  <c r="L972" i="41"/>
  <c r="L822" i="41"/>
  <c r="N822" i="41" s="1"/>
  <c r="L542" i="41"/>
  <c r="N542" i="41" s="1"/>
  <c r="L2372" i="41"/>
  <c r="N2372" i="41" s="1"/>
  <c r="N2357" i="41"/>
  <c r="L2317" i="41"/>
  <c r="N2317" i="41" s="1"/>
  <c r="L2262" i="41"/>
  <c r="N2262" i="41" s="1"/>
  <c r="L2097" i="41"/>
  <c r="N2097" i="41" s="1"/>
  <c r="L2007" i="41"/>
  <c r="N2007" i="41" s="1"/>
  <c r="L1932" i="41"/>
  <c r="N1932" i="41" s="1"/>
  <c r="L1897" i="41"/>
  <c r="N1897" i="41" s="1"/>
  <c r="L1862" i="41"/>
  <c r="N1862" i="41" s="1"/>
  <c r="L1827" i="41"/>
  <c r="N1827" i="41" s="1"/>
  <c r="L1807" i="41"/>
  <c r="N1807" i="41" s="1"/>
  <c r="L1717" i="41"/>
  <c r="N1717" i="41" s="1"/>
  <c r="L1682" i="41"/>
  <c r="N1682" i="41" s="1"/>
  <c r="L1627" i="41"/>
  <c r="N1627" i="41" s="1"/>
  <c r="L1607" i="41"/>
  <c r="L1572" i="41"/>
  <c r="N1572" i="41" s="1"/>
  <c r="L1552" i="41"/>
  <c r="N1552" i="41" s="1"/>
  <c r="L1517" i="41"/>
  <c r="N1482" i="41"/>
  <c r="L1462" i="41"/>
  <c r="N1462" i="41" s="1"/>
  <c r="N1427" i="41"/>
  <c r="L1297" i="41"/>
  <c r="N1297" i="41" s="1"/>
  <c r="L1172" i="41"/>
  <c r="N1172" i="41" s="1"/>
  <c r="L1117" i="41"/>
  <c r="N1117" i="41" s="1"/>
  <c r="L1082" i="41"/>
  <c r="N1082" i="41" s="1"/>
  <c r="L1062" i="41"/>
  <c r="L1027" i="41"/>
  <c r="N1027" i="41" s="1"/>
  <c r="L1007" i="41"/>
  <c r="N1007" i="41" s="1"/>
  <c r="N972" i="41"/>
  <c r="L762" i="41"/>
  <c r="L672" i="41"/>
  <c r="N672" i="41" s="1"/>
  <c r="L652" i="41"/>
  <c r="N652" i="41" s="1"/>
  <c r="L632" i="41"/>
  <c r="N632" i="41" s="1"/>
  <c r="L577" i="41"/>
  <c r="N577" i="41" s="1"/>
  <c r="L557" i="41"/>
  <c r="N557" i="41" s="1"/>
  <c r="L522" i="41"/>
  <c r="N522" i="41" s="1"/>
  <c r="L277" i="41"/>
  <c r="N277" i="41" s="1"/>
  <c r="L257" i="41"/>
  <c r="N257" i="41" s="1"/>
  <c r="L237" i="41"/>
  <c r="N237" i="41" s="1"/>
  <c r="L202" i="41"/>
  <c r="N202" i="41" s="1"/>
  <c r="N2172" i="41"/>
  <c r="L2132" i="41"/>
  <c r="N2132" i="41" s="1"/>
  <c r="L2077" i="41"/>
  <c r="N2077" i="41" s="1"/>
  <c r="L2042" i="41"/>
  <c r="N2042" i="41" s="1"/>
  <c r="L2022" i="41"/>
  <c r="N2022" i="41" s="1"/>
  <c r="L1987" i="41"/>
  <c r="L1967" i="41"/>
  <c r="N1967" i="41" s="1"/>
  <c r="L1877" i="41"/>
  <c r="N1877" i="41" s="1"/>
  <c r="L1842" i="41"/>
  <c r="N1842" i="41" s="1"/>
  <c r="L1787" i="41"/>
  <c r="L1767" i="41"/>
  <c r="N1767" i="41" s="1"/>
  <c r="L1732" i="41"/>
  <c r="N1732" i="41" s="1"/>
  <c r="L1662" i="41"/>
  <c r="N1662" i="41" s="1"/>
  <c r="L1642" i="41"/>
  <c r="N1642" i="41" s="1"/>
  <c r="L1587" i="41"/>
  <c r="N1587" i="41" s="1"/>
  <c r="N1517" i="41"/>
  <c r="L1332" i="41"/>
  <c r="L1277" i="41"/>
  <c r="N1277" i="41" s="1"/>
  <c r="N1262" i="41"/>
  <c r="L1242" i="41"/>
  <c r="N1242" i="41" s="1"/>
  <c r="L1207" i="41"/>
  <c r="N1207" i="41" s="1"/>
  <c r="L1152" i="41"/>
  <c r="N1152" i="41" s="1"/>
  <c r="L1132" i="41"/>
  <c r="N1132" i="41" s="1"/>
  <c r="L1097" i="41"/>
  <c r="N1097" i="41" s="1"/>
  <c r="L1042" i="41"/>
  <c r="N1042" i="41" s="1"/>
  <c r="L912" i="41"/>
  <c r="N912" i="41" s="1"/>
  <c r="L892" i="41"/>
  <c r="N892" i="41" s="1"/>
  <c r="L872" i="41"/>
  <c r="N872" i="41" s="1"/>
  <c r="L387" i="41"/>
  <c r="N387" i="41" s="1"/>
  <c r="L352" i="41"/>
  <c r="N352" i="41" s="1"/>
  <c r="L332" i="41"/>
  <c r="N332" i="41" s="1"/>
  <c r="L312" i="41"/>
  <c r="N312" i="41" s="1"/>
  <c r="L182" i="41"/>
  <c r="N182" i="41" s="1"/>
  <c r="L162" i="41"/>
  <c r="L142" i="41"/>
  <c r="N142" i="41" s="1"/>
  <c r="L107" i="41"/>
  <c r="L32" i="41"/>
  <c r="L12" i="41"/>
  <c r="N12" i="41" s="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L337" i="41"/>
  <c r="N337" i="41" s="1"/>
  <c r="L2367" i="41"/>
  <c r="N2367" i="41" s="1"/>
  <c r="L2257" i="41"/>
  <c r="N2257" i="41" s="1"/>
  <c r="L2002" i="41"/>
  <c r="N2002" i="41" s="1"/>
  <c r="L1187" i="41"/>
  <c r="N1187" i="41" s="1"/>
  <c r="L1167" i="41"/>
  <c r="N1167" i="41" s="1"/>
  <c r="L1077" i="41"/>
  <c r="N1077" i="41" s="1"/>
  <c r="L852" i="41"/>
  <c r="N852" i="41" s="1"/>
  <c r="L702" i="41"/>
  <c r="N702" i="41" s="1"/>
  <c r="L572" i="41"/>
  <c r="N572" i="41" s="1"/>
  <c r="L442" i="41"/>
  <c r="N442" i="41" s="1"/>
  <c r="L252" i="41"/>
  <c r="N252" i="41" s="1"/>
  <c r="L122" i="41"/>
  <c r="N122" i="41" s="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N1002" i="41" s="1"/>
  <c r="L817" i="41"/>
  <c r="N817" i="41" s="1"/>
  <c r="L797" i="41"/>
  <c r="N797" i="41" s="1"/>
  <c r="N762" i="41"/>
  <c r="L742" i="41"/>
  <c r="N742" i="41" s="1"/>
  <c r="L722" i="41"/>
  <c r="N722" i="41" s="1"/>
  <c r="L502" i="41"/>
  <c r="N502" i="41" s="1"/>
  <c r="L482" i="41"/>
  <c r="L462" i="41"/>
  <c r="L427" i="41"/>
  <c r="N427" i="41" s="1"/>
  <c r="N317" i="41"/>
  <c r="L222" i="41"/>
  <c r="N222" i="41" s="1"/>
  <c r="L112" i="41"/>
  <c r="L92" i="41"/>
  <c r="N92" i="41" s="1"/>
  <c r="L72" i="41"/>
  <c r="N72" i="41" s="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932" i="41"/>
  <c r="N612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047" i="41"/>
  <c r="N1547" i="41"/>
  <c r="N1407" i="41"/>
  <c r="N1192" i="41"/>
  <c r="N1052" i="41"/>
  <c r="N867" i="41"/>
  <c r="N2362" i="41"/>
  <c r="L2327" i="41"/>
  <c r="N2327" i="41" s="1"/>
  <c r="N2302" i="41"/>
  <c r="N2292" i="41"/>
  <c r="N2272" i="41"/>
  <c r="L2147" i="41"/>
  <c r="N2147" i="41" s="1"/>
  <c r="L2127" i="41"/>
  <c r="N2127" i="41" s="1"/>
  <c r="N2092" i="41"/>
  <c r="N1987" i="41"/>
  <c r="L1947" i="41"/>
  <c r="N1947" i="41" s="1"/>
  <c r="L1927" i="41"/>
  <c r="N1927" i="41" s="1"/>
  <c r="N1852" i="41"/>
  <c r="N1787" i="41"/>
  <c r="L1747" i="41"/>
  <c r="N1747" i="41" s="1"/>
  <c r="N1742" i="41"/>
  <c r="N1712" i="41"/>
  <c r="N1707" i="41"/>
  <c r="L1687" i="41"/>
  <c r="N1687" i="41" s="1"/>
  <c r="N1652" i="41"/>
  <c r="N1632" i="41"/>
  <c r="L1507" i="41"/>
  <c r="N1507" i="41" s="1"/>
  <c r="L1487" i="41"/>
  <c r="N1487" i="41" s="1"/>
  <c r="N1432" i="41"/>
  <c r="N1362" i="41"/>
  <c r="N1352" i="41"/>
  <c r="N1347" i="41"/>
  <c r="L1307" i="41"/>
  <c r="L1287" i="41"/>
  <c r="N1287" i="41" s="1"/>
  <c r="N1282" i="41"/>
  <c r="N1147" i="41"/>
  <c r="L1107" i="41"/>
  <c r="N1107" i="41" s="1"/>
  <c r="N1102" i="41"/>
  <c r="N1072" i="41"/>
  <c r="N1067" i="41"/>
  <c r="L1047" i="41"/>
  <c r="N1047" i="41" s="1"/>
  <c r="N1012" i="41"/>
  <c r="N962" i="41"/>
  <c r="N952" i="41"/>
  <c r="N947" i="41"/>
  <c r="L827" i="41"/>
  <c r="N827" i="41" s="1"/>
  <c r="N782" i="41"/>
  <c r="N747" i="41"/>
  <c r="N692" i="41"/>
  <c r="N642" i="41"/>
  <c r="N582" i="41"/>
  <c r="L507" i="41"/>
  <c r="N507" i="41" s="1"/>
  <c r="N462" i="41"/>
  <c r="N397" i="41"/>
  <c r="N372" i="41"/>
  <c r="N307" i="41"/>
  <c r="N272" i="41"/>
  <c r="N262" i="41"/>
  <c r="L187" i="41"/>
  <c r="N187" i="41" s="1"/>
  <c r="N107" i="41"/>
  <c r="N32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30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052" i="41"/>
  <c r="N1952" i="41"/>
  <c r="N1772" i="41"/>
  <c r="N1752" i="41"/>
  <c r="N1667" i="41"/>
  <c r="N1607" i="41"/>
  <c r="N1522" i="41"/>
  <c r="N1412" i="41"/>
  <c r="N1387" i="41"/>
  <c r="N1332" i="41"/>
  <c r="N1312" i="41"/>
  <c r="N1267" i="41"/>
  <c r="N1112" i="41"/>
  <c r="N1062" i="41"/>
  <c r="L987" i="41"/>
  <c r="N987" i="41" s="1"/>
  <c r="N877" i="41"/>
  <c r="N787" i="41"/>
  <c r="L667" i="41"/>
  <c r="N667" i="41" s="1"/>
  <c r="N622" i="41"/>
  <c r="N482" i="41"/>
  <c r="N472" i="41"/>
  <c r="N467" i="41"/>
  <c r="N422" i="41"/>
  <c r="N402" i="41"/>
  <c r="L347" i="41"/>
  <c r="N347" i="41" s="1"/>
  <c r="N192" i="41"/>
  <c r="N162" i="41"/>
  <c r="N147" i="41"/>
  <c r="N112" i="41"/>
  <c r="N10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837" i="41"/>
  <c r="N657" i="41"/>
  <c r="N597" i="41"/>
  <c r="N517" i="41"/>
  <c r="N49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677" i="41"/>
  <c r="N35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172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X720" i="41" s="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65" i="18"/>
  <c r="G250" i="20"/>
  <c r="I251" i="20"/>
  <c r="J251" i="20"/>
  <c r="K251" i="20"/>
  <c r="F246" i="15"/>
  <c r="D245" i="15"/>
  <c r="E173" i="13"/>
  <c r="G174" i="13"/>
  <c r="U2123" i="41" l="1"/>
  <c r="V2123" i="41" s="1"/>
  <c r="X2123" i="41" s="1"/>
  <c r="G249" i="20"/>
  <c r="J250" i="20"/>
  <c r="K250" i="20"/>
  <c r="I250" i="20"/>
  <c r="F245" i="15"/>
  <c r="D244" i="15"/>
  <c r="AN165" i="18"/>
  <c r="AJ170" i="18" s="1"/>
  <c r="E172" i="13"/>
  <c r="G173" i="13"/>
  <c r="D62" i="38"/>
  <c r="AJ174" i="18" l="1"/>
  <c r="J249" i="20"/>
  <c r="I249" i="20"/>
  <c r="K249" i="20"/>
  <c r="G248" i="20"/>
  <c r="F244" i="15"/>
  <c r="D243" i="15"/>
  <c r="AJ173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U36" i="33" s="1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U31" i="33" s="1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U35" i="33" s="1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U37" i="33" s="1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L11" i="33"/>
  <c r="U11" i="33"/>
  <c r="L31" i="33"/>
  <c r="L33" i="33"/>
  <c r="L12" i="33"/>
  <c r="L32" i="33"/>
  <c r="L2" i="33"/>
  <c r="U2" i="33"/>
  <c r="L13" i="33"/>
  <c r="L4" i="33"/>
  <c r="U4" i="33"/>
  <c r="L35" i="33"/>
  <c r="L26" i="33"/>
  <c r="U26" i="33"/>
  <c r="L6" i="33"/>
  <c r="U6" i="33"/>
  <c r="L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H21" i="34"/>
  <c r="G21" i="34"/>
  <c r="D21" i="34"/>
  <c r="I21" i="34" s="1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H21" i="29"/>
  <c r="G21" i="29"/>
  <c r="D21" i="29"/>
  <c r="I21" i="29" s="1"/>
  <c r="H20" i="29"/>
  <c r="G20" i="29"/>
  <c r="D20" i="29"/>
  <c r="I20" i="29" s="1"/>
  <c r="H19" i="29"/>
  <c r="G19" i="29"/>
  <c r="D19" i="29"/>
  <c r="I19" i="29" s="1"/>
  <c r="H18" i="29"/>
  <c r="G18" i="29"/>
  <c r="D18" i="29"/>
  <c r="I18" i="29" s="1"/>
  <c r="H17" i="29"/>
  <c r="G17" i="29"/>
  <c r="D17" i="29"/>
  <c r="I17" i="29" s="1"/>
  <c r="H16" i="29"/>
  <c r="G16" i="29"/>
  <c r="D16" i="29"/>
  <c r="I16" i="29" s="1"/>
  <c r="H15" i="29"/>
  <c r="G15" i="29"/>
  <c r="D15" i="29"/>
  <c r="I15" i="29" s="1"/>
  <c r="H14" i="29"/>
  <c r="G14" i="29"/>
  <c r="D14" i="29"/>
  <c r="I14" i="29" s="1"/>
  <c r="H13" i="29"/>
  <c r="G13" i="29"/>
  <c r="D13" i="29"/>
  <c r="I13" i="29" s="1"/>
  <c r="H12" i="29"/>
  <c r="G12" i="29"/>
  <c r="D12" i="29"/>
  <c r="I12" i="29" s="1"/>
  <c r="H11" i="29"/>
  <c r="G11" i="29"/>
  <c r="D11" i="29"/>
  <c r="I11" i="29" s="1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H7" i="29"/>
  <c r="G7" i="29"/>
  <c r="D7" i="29"/>
  <c r="I7" i="29" s="1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I3" i="24" s="1"/>
  <c r="D4" i="24"/>
  <c r="I4" i="24" s="1"/>
  <c r="D5" i="24"/>
  <c r="I5" i="24" s="1"/>
  <c r="D6" i="24"/>
  <c r="I6" i="24" s="1"/>
  <c r="D7" i="24"/>
  <c r="D8" i="24"/>
  <c r="D9" i="24"/>
  <c r="I9" i="24" s="1"/>
  <c r="D10" i="24"/>
  <c r="I10" i="24" s="1"/>
  <c r="D11" i="24"/>
  <c r="I11" i="24" s="1"/>
  <c r="D12" i="24"/>
  <c r="I12" i="24" s="1"/>
  <c r="D13" i="24"/>
  <c r="I13" i="24" s="1"/>
  <c r="D14" i="24"/>
  <c r="I14" i="24" s="1"/>
  <c r="D15" i="24"/>
  <c r="D16" i="24"/>
  <c r="D17" i="24"/>
  <c r="I17" i="24" s="1"/>
  <c r="D18" i="24"/>
  <c r="I18" i="24" s="1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9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7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9" i="18" l="1"/>
  <c r="F24" i="18" s="1"/>
  <c r="G113" i="20"/>
  <c r="J114" i="20"/>
  <c r="I114" i="20"/>
  <c r="K114" i="20"/>
  <c r="L70" i="18"/>
  <c r="E33" i="13"/>
  <c r="G34" i="13"/>
  <c r="F108" i="15"/>
  <c r="C20" i="18"/>
  <c r="G20" i="14"/>
  <c r="G21" i="14"/>
  <c r="G112" i="20" l="1"/>
  <c r="K113" i="20"/>
  <c r="J113" i="20"/>
  <c r="I113" i="20"/>
  <c r="L7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63" i="14"/>
  <c r="G66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9" i="15"/>
  <c r="F292" i="15" s="1"/>
  <c r="G6" i="20" l="1"/>
  <c r="J7" i="20"/>
  <c r="K7" i="20"/>
  <c r="I7" i="20"/>
  <c r="V184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<sst xmlns="http://schemas.openxmlformats.org/spreadsheetml/2006/main" count="11814" uniqueCount="5078">
  <si>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</si>
  <si>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</si>
  <si>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</si>
  <si>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</si>
  <si>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</si>
  <si>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</si>
  <si>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</si>
  <si>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</si>
  <si>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</si>
  <si>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</si>
  <si>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</si>
  <si>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</si>
  <si>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</si>
  <si>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</si>
  <si>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</si>
  <si>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</si>
  <si>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</si>
  <si>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</si>
  <si>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</si>
  <si>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</si>
  <si>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</si>
  <si>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</si>
  <si>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</si>
  <si>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</si>
  <si>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</si>
  <si>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</si>
  <si>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</si>
  <si>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</si>
  <si>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</si>
  <si>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</si>
  <si>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</si>
  <si>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</si>
  <si>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</si>
  <si>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</si>
  <si>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</si>
  <si>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</si>
  <si>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</si>
  <si>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</si>
  <si>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</si>
  <si>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</si>
  <si>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</si>
  <si>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</si>
  <si>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</si>
  <si>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</si>
  <si>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</si>
  <si>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</si>
  <si>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</si>
  <si>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</si>
  <si>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</si>
  <si>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</si>
  <si>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</si>
  <si>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</si>
  <si>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</si>
  <si>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</si>
  <si>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</si>
  <si>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</si>
  <si>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</si>
  <si>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</si>
  <si>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</si>
  <si>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</si>
  <si>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</si>
  <si>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</si>
  <si>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</si>
  <si>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</si>
  <si>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</si>
  <si>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</si>
  <si>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</si>
  <si>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</si>
  <si>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</si>
  <si>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</si>
  <si>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</si>
  <si>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</si>
  <si>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</si>
  <si>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</si>
  <si>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</si>
  <si>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</si>
  <si>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</si>
  <si>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</si>
  <si>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</si>
  <si>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</si>
  <si>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</si>
  <si>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</si>
  <si>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</si>
  <si>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</si>
  <si>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</si>
  <si>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</si>
  <si>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</si>
  <si>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</si>
  <si>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</si>
  <si>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</si>
  <si>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</si>
  <si>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</si>
  <si>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</si>
  <si>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</si>
  <si>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</si>
  <si>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</si>
  <si>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</si>
  <si>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</si>
  <si>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</si>
  <si>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</si>
  <si>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</si>
  <si>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</si>
  <si>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</si>
  <si>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</si>
  <si>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</si>
  <si>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</si>
  <si>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</si>
  <si>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</si>
  <si>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</si>
  <si>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</si>
  <si>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</si>
  <si>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</si>
  <si>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</si>
  <si>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</si>
  <si>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</si>
  <si>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</si>
  <si>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</si>
  <si>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</si>
  <si>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</si>
  <si>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</si>
  <si>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</si>
  <si>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</si>
  <si>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</si>
  <si>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</si>
  <si>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</si>
  <si>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</si>
  <si>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</si>
  <si>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</si>
  <si>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</si>
  <si>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</si>
  <si>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</si>
  <si>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</si>
  <si>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</si>
  <si>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</si>
  <si>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</si>
  <si>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</si>
  <si>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</si>
  <si>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</si>
  <si>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</si>
  <si>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</si>
  <si>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</si>
  <si>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</si>
  <si>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</si>
  <si>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</si>
  <si>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</si>
  <si>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</si>
  <si>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</si>
  <si>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</si>
  <si>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</si>
  <si>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</si>
  <si>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</si>
  <si>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</si>
  <si>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</si>
  <si>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</si>
  <si>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</si>
  <si>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</si>
  <si>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</si>
  <si>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</si>
  <si>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</si>
  <si>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</si>
  <si>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</si>
  <si>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</si>
  <si>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</si>
  <si>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</si>
  <si>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</si>
  <si>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</si>
  <si>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</si>
  <si>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</si>
  <si>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</si>
  <si>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</si>
  <si>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</si>
  <si>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</si>
  <si>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</si>
  <si>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</si>
  <si>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</si>
  <si>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</si>
  <si>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</si>
  <si>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</si>
  <si>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</si>
  <si>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</si>
  <si>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</si>
  <si>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</si>
  <si>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</si>
  <si>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</si>
  <si>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</si>
  <si>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</si>
  <si>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</si>
  <si>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</si>
  <si>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</si>
  <si>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</si>
  <si>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</si>
  <si>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</si>
  <si>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</si>
  <si>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</si>
  <si>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</si>
  <si>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</si>
  <si>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</si>
  <si>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</si>
  <si>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</si>
  <si>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</si>
  <si>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</si>
  <si>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</si>
  <si>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</si>
  <si>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</si>
  <si>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</si>
  <si>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</si>
  <si>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</si>
  <si>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</si>
  <si>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</si>
  <si>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</si>
  <si>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</si>
  <si>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</si>
  <si>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</si>
  <si>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</si>
  <si>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</si>
  <si>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</si>
  <si>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</si>
  <si>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</si>
  <si>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</si>
  <si>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</si>
  <si>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</si>
  <si>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</si>
  <si>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</si>
  <si>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</si>
  <si>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</si>
  <si>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</si>
  <si>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</si>
  <si>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</si>
  <si>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</si>
  <si>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</si>
  <si>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</si>
  <si>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</si>
  <si>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</si>
  <si>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</si>
  <si>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</si>
  <si>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</si>
  <si>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</si>
  <si>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</si>
  <si>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</si>
  <si>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</si>
  <si>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</si>
  <si>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</si>
  <si>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</si>
  <si>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</si>
  <si>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</si>
  <si>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</si>
  <si>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</si>
  <si>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</si>
  <si>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</si>
  <si>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</si>
  <si>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</si>
  <si>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</si>
  <si>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</si>
  <si>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</si>
  <si>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</si>
  <si>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</si>
  <si>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</si>
  <si>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</si>
  <si>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</si>
  <si>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</si>
  <si>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</si>
  <si>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</si>
  <si>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</si>
  <si>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</si>
  <si>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</si>
  <si>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</si>
  <si>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</si>
  <si>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</si>
  <si>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</si>
  <si>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</si>
  <si>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</si>
  <si>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</si>
  <si>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</si>
  <si>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</si>
  <si>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</si>
  <si>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</si>
  <si>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</si>
  <si>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</si>
  <si>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</si>
  <si>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</si>
  <si>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</si>
  <si>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</si>
  <si>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</si>
  <si>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</si>
  <si>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</si>
  <si>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</si>
  <si>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</si>
  <si>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</si>
  <si>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</si>
  <si>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</si>
  <si>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</si>
  <si>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</si>
  <si>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</si>
  <si>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</si>
  <si>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</si>
  <si>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</si>
  <si>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</si>
  <si>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</si>
  <si>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</si>
  <si>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</si>
  <si>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</si>
  <si>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</si>
  <si>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</si>
  <si>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</si>
  <si>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</si>
  <si>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</si>
  <si>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</si>
  <si>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</si>
  <si>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</si>
  <si>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</si>
  <si>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</si>
  <si>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</si>
  <si>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</si>
  <si>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</si>
  <si>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</si>
  <si>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</si>
  <si>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</si>
  <si>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</si>
  <si>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</si>
  <si>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</si>
  <si>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</si>
  <si>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</si>
  <si>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</si>
  <si>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</si>
  <si>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</si>
  <si>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</si>
  <si>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</si>
  <si>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</si>
  <si>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</si>
  <si>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</si>
  <si>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</si>
  <si>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</si>
  <si>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</si>
  <si>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</si>
  <si>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</si>
  <si>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</si>
  <si>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</si>
  <si>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</si>
  <si>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</si>
  <si>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</si>
  <si>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</si>
  <si>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</si>
  <si>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</si>
  <si>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</si>
  <si>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</si>
  <si>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</si>
  <si>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</si>
  <si>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</si>
  <si>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</si>
  <si>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</si>
  <si>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</si>
  <si>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</si>
  <si>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</si>
  <si>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</si>
  <si>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</si>
  <si>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</si>
  <si>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</si>
  <si>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</si>
  <si>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</si>
  <si>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</si>
  <si>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</si>
  <si>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</si>
  <si>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</si>
  <si>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</si>
  <si>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</si>
  <si>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</si>
  <si>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</si>
  <si>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</si>
  <si>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</si>
  <si>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</si>
  <si>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</si>
  <si>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</si>
  <si>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</si>
  <si>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</si>
  <si>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</si>
  <si>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</si>
  <si>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</si>
  <si>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</si>
  <si>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</si>
  <si>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</si>
  <si>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</si>
  <si>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</si>
  <si>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</si>
  <si>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</si>
  <si>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</si>
  <si>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</si>
  <si>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</si>
  <si>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</si>
  <si>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</si>
  <si>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</si>
  <si>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</si>
  <si>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</si>
  <si>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</si>
  <si>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</si>
  <si>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</si>
  <si>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</si>
  <si>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</si>
  <si>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</si>
  <si>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</si>
  <si>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</si>
  <si>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</si>
  <si>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</si>
  <si>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</si>
  <si>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</si>
  <si>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</si>
  <si>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</si>
  <si>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</si>
  <si>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</si>
  <si>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</si>
  <si>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</si>
  <si>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</si>
  <si>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</si>
  <si>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</si>
  <si>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</si>
  <si>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</si>
  <si>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</si>
  <si>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</si>
  <si>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</si>
  <si>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</si>
  <si>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</si>
  <si>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</si>
  <si>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</si>
  <si>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</si>
  <si>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</si>
  <si>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</si>
  <si>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</si>
  <si>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</si>
  <si>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</si>
  <si>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</si>
  <si>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</si>
  <si>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</si>
  <si>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</si>
  <si>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</si>
  <si>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</si>
  <si>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</si>
  <si>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</si>
  <si>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</si>
  <si>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</si>
  <si>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</si>
  <si>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</si>
  <si>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</si>
  <si>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</si>
  <si>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</si>
  <si>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</si>
  <si>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</si>
  <si>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</si>
  <si>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</si>
  <si>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</si>
  <si>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</si>
  <si>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</si>
  <si>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</si>
  <si>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</si>
  <si>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</si>
  <si>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</si>
  <si>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</si>
  <si>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</si>
  <si>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</si>
  <si>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</si>
  <si>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</si>
  <si>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</si>
  <si>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</si>
  <si>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</si>
  <si>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</si>
  <si>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</si>
  <si>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</si>
  <si>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</si>
  <si>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</si>
  <si>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</si>
  <si>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</si>
  <si>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</si>
  <si>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</si>
  <si>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</si>
  <si>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</si>
  <si>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</si>
  <si>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</si>
  <si>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</si>
  <si>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</si>
  <si>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</si>
  <si>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</si>
  <si>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</si>
  <si>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</si>
  <si>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</si>
  <si>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</si>
  <si>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</si>
  <si>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</si>
  <si>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</si>
  <si>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</si>
  <si>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</si>
  <si>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</si>
  <si>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</si>
  <si>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</si>
  <si>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</si>
  <si>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</si>
  <si>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</si>
  <si>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</si>
  <si>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</si>
  <si>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</si>
  <si>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</si>
  <si>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</si>
  <si>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</si>
  <si>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</si>
  <si>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</si>
  <si>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</si>
  <si>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</si>
  <si>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</si>
  <si>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</si>
  <si>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</si>
  <si>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</si>
  <si>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</si>
  <si>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</si>
  <si>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</si>
  <si>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</si>
  <si>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</si>
  <si>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</si>
  <si>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</si>
  <si>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</si>
  <si>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</si>
  <si>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</si>
  <si>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</si>
  <si>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</si>
  <si>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</si>
  <si>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</si>
  <si>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</si>
  <si>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</si>
  <si>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</si>
  <si>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</si>
  <si>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</si>
  <si>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</si>
  <si>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</si>
  <si>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</si>
  <si>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</si>
  <si>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</si>
  <si>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</si>
  <si>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</si>
  <si>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</si>
  <si>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</si>
  <si>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</si>
  <si>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</si>
  <si>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</si>
  <si>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</si>
  <si>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</si>
  <si>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</si>
  <si>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</si>
  <si>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</si>
  <si>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</si>
  <si>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</si>
  <si>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</si>
  <si>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</si>
  <si>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</si>
  <si>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</si>
  <si>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</si>
  <si>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</si>
  <si>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</si>
  <si>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</si>
  <si>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</si>
  <si>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</si>
  <si>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</si>
  <si>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</si>
  <si>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</si>
  <si>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</si>
  <si>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</si>
  <si>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</si>
  <si>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</si>
  <si>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</si>
  <si>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</si>
  <si>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</si>
  <si>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</si>
  <si>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</si>
  <si>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</si>
  <si>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</si>
  <si>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</si>
  <si>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</si>
  <si>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</si>
  <si>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</si>
  <si>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</si>
  <si>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</si>
  <si>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</si>
  <si>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</si>
  <si>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</si>
  <si>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</si>
  <si>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</si>
  <si>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</si>
  <si>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</si>
  <si>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</si>
  <si>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</si>
  <si>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</si>
  <si>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</si>
  <si>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</si>
  <si>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</si>
  <si>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</si>
  <si>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</si>
  <si>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</si>
  <si>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</si>
  <si>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</si>
  <si>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</si>
  <si>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</si>
  <si>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</si>
  <si>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</si>
  <si>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</si>
  <si>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</si>
  <si>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</si>
  <si>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</si>
  <si>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</si>
  <si>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</si>
  <si>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</si>
  <si>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</si>
  <si>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</si>
  <si>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</si>
  <si>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</si>
  <si>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</si>
  <si>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</si>
  <si>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</si>
  <si>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</si>
  <si>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</si>
  <si>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</si>
  <si>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</si>
  <si>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</si>
  <si>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</si>
  <si>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</si>
  <si>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</si>
  <si>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</si>
  <si>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</si>
  <si>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</si>
  <si>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</si>
  <si>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</si>
  <si>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</si>
  <si>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</si>
  <si>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</si>
  <si>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</si>
  <si>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</si>
  <si>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</si>
  <si>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</si>
  <si>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</si>
  <si>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</si>
  <si>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</si>
  <si>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</si>
  <si>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</si>
  <si>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</si>
  <si>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</si>
  <si>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</si>
  <si>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</si>
  <si>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</si>
  <si>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</si>
  <si>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</si>
  <si>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</si>
  <si>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</si>
  <si>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</si>
  <si>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</si>
  <si>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</si>
  <si>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</si>
  <si>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</si>
  <si>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</si>
  <si>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</si>
  <si>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</si>
  <si>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</si>
  <si>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</si>
  <si>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</si>
  <si>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</si>
  <si>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</si>
  <si>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</si>
  <si>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</si>
  <si>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</si>
  <si>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</si>
  <si>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</si>
  <si>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</si>
  <si>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</si>
  <si>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</si>
  <si>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</si>
  <si>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</si>
  <si>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</si>
  <si>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</si>
  <si>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</si>
  <si>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</si>
  <si>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</si>
  <si>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</si>
  <si>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</si>
  <si>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</si>
  <si>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</si>
  <si>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</si>
  <si>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</si>
  <si>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</si>
  <si>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</si>
  <si>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</si>
  <si>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</si>
  <si>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</si>
  <si>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</si>
  <si>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</si>
  <si>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</si>
  <si>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</si>
  <si>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</si>
  <si>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</si>
  <si>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</si>
  <si>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</si>
  <si>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</si>
  <si>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</si>
  <si>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</si>
  <si>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</si>
  <si>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</si>
  <si>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</si>
  <si>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</si>
  <si>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</si>
  <si>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</si>
  <si>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</si>
  <si>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</si>
  <si>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</si>
  <si>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</si>
  <si>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</si>
  <si>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</si>
  <si>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</si>
  <si>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</si>
  <si>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</si>
  <si>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</si>
  <si>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</si>
  <si>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</si>
  <si>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</si>
  <si>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</si>
  <si>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</si>
  <si>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</si>
  <si>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</si>
  <si>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</si>
  <si>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</si>
  <si>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</si>
  <si>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</si>
  <si>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</si>
  <si>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</si>
  <si>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</si>
  <si>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</si>
  <si>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</si>
  <si>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</si>
  <si>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</si>
  <si>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</si>
  <si>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</si>
  <si>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</si>
  <si>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</si>
  <si>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</si>
  <si>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</si>
  <si>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</si>
  <si>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</si>
  <si>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</si>
  <si>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</si>
  <si>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</si>
  <si>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</si>
  <si>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</si>
  <si>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</si>
  <si>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</si>
  <si>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</si>
  <si>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</si>
  <si>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</si>
  <si>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</si>
  <si>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</si>
  <si>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</si>
  <si>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</si>
  <si>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</si>
  <si>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</si>
  <si>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</si>
  <si>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</si>
  <si>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</si>
  <si>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</si>
  <si>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</si>
  <si>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</si>
  <si>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</si>
  <si>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</si>
  <si>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</si>
  <si>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</si>
  <si>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</si>
  <si>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</si>
  <si>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</si>
  <si>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</si>
  <si>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</si>
  <si>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</si>
  <si>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</si>
  <si>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</si>
  <si>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</si>
  <si>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</si>
  <si>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</si>
  <si>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</si>
  <si>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</si>
  <si>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</si>
  <si>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</si>
  <si>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</si>
  <si>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</si>
  <si>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</si>
  <si>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</si>
  <si>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</si>
  <si>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</si>
  <si>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</si>
  <si>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</si>
  <si>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</si>
  <si>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</si>
  <si>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</si>
  <si>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</si>
  <si>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</si>
  <si>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</si>
  <si>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</si>
  <si>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</si>
  <si>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</si>
  <si>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</si>
  <si>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</si>
  <si>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</si>
  <si>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</si>
  <si>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</si>
  <si>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</si>
  <si>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</si>
  <si>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</si>
  <si>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</si>
  <si>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</si>
  <si>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</si>
  <si>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</si>
  <si>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</si>
  <si>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</si>
  <si>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</si>
  <si>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</si>
  <si>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</si>
  <si>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</si>
  <si>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</si>
  <si>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</si>
  <si>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</si>
  <si>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</si>
  <si>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</si>
  <si>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</si>
  <si>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</si>
  <si>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</si>
  <si>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</si>
  <si>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</si>
  <si>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</si>
  <si>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</si>
  <si>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</si>
  <si>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</si>
  <si>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</si>
  <si>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</si>
  <si>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</si>
  <si>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</si>
  <si>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</si>
  <si>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</si>
  <si>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</si>
  <si>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</si>
  <si>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</si>
  <si>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</si>
  <si>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</si>
  <si>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</si>
  <si>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</si>
  <si>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</si>
  <si>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</si>
  <si>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</si>
  <si>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</si>
  <si>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</si>
  <si>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</si>
  <si>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</si>
  <si>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</si>
  <si>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</si>
  <si>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</si>
  <si>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</si>
  <si>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</si>
  <si>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</si>
  <si>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</si>
  <si>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</si>
  <si>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</si>
  <si>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</si>
  <si>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</si>
  <si>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</si>
  <si>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</si>
  <si>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</si>
  <si>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</si>
  <si>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</si>
  <si>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</si>
  <si>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</si>
  <si>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</si>
  <si>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</si>
  <si>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</si>
  <si>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</si>
  <si>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</si>
  <si>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</si>
  <si>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</si>
  <si>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</si>
  <si>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</si>
  <si>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</si>
  <si>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</si>
  <si>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</si>
  <si>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</si>
  <si>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</si>
  <si>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</si>
  <si>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</si>
  <si>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</si>
  <si>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</si>
  <si>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</si>
  <si>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</si>
  <si>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</si>
  <si>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</si>
  <si>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</si>
  <si>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</si>
  <si>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</si>
  <si>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</si>
  <si>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</si>
  <si>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</si>
  <si>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</si>
  <si>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</si>
  <si>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</si>
  <si>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</si>
  <si>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</si>
  <si>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</si>
  <si>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</si>
  <si>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</si>
  <si>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</si>
  <si>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</si>
  <si>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</si>
  <si>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</si>
  <si>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</si>
  <si>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</si>
  <si>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</si>
  <si>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</si>
  <si>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</si>
  <si>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</si>
  <si>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</si>
  <si>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</si>
  <si>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</si>
  <si>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</si>
  <si>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</si>
  <si>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</si>
  <si>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</si>
  <si>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</si>
  <si>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</si>
  <si>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</si>
  <si>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</si>
  <si>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</si>
  <si>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</si>
  <si>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</si>
  <si>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</si>
  <si>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</si>
  <si>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</si>
  <si>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</si>
  <si>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</si>
  <si>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</si>
  <si>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</si>
  <si>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</si>
  <si>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</si>
  <si>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</si>
  <si>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</si>
  <si>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</si>
  <si>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</si>
  <si>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</si>
  <si>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</si>
  <si>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</si>
  <si>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</si>
  <si>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</si>
  <si>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</si>
  <si>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</si>
  <si>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</si>
  <si>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</si>
  <si>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</si>
  <si>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</si>
  <si>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</si>
  <si>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</si>
  <si>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</si>
  <si>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</si>
  <si>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</si>
  <si>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</si>
  <si>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</si>
  <si>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</si>
  <si>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</si>
  <si>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</si>
  <si>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</si>
  <si>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</si>
  <si>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</si>
  <si>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</si>
  <si>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</si>
  <si>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</si>
  <si>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</si>
  <si>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</si>
  <si>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</si>
  <si>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</si>
  <si>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</si>
  <si>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</si>
  <si>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</si>
  <si>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</si>
  <si>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</si>
  <si>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</si>
  <si>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</si>
  <si>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</si>
  <si>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</si>
  <si>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</si>
  <si>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</si>
  <si>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</si>
  <si>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</si>
  <si>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</si>
  <si>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</si>
  <si>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</si>
  <si>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</si>
  <si>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</si>
  <si>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</si>
  <si>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</si>
  <si>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</si>
  <si>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</si>
  <si>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</si>
  <si>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</si>
  <si>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</si>
  <si>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</si>
  <si>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</si>
  <si>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</si>
  <si>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</si>
  <si>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</si>
  <si>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</si>
  <si>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</si>
  <si>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</si>
  <si>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</si>
  <si>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</si>
  <si>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</si>
  <si>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</si>
  <si>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</si>
  <si>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</si>
  <si>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</si>
  <si>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</si>
  <si>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</si>
  <si>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</si>
  <si>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</si>
  <si>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</si>
  <si>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</si>
  <si>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</si>
  <si>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</si>
  <si>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</si>
  <si>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</si>
  <si>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</si>
  <si>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</si>
  <si>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</si>
  <si>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</si>
  <si>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</si>
  <si>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</si>
  <si>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</si>
  <si>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</si>
  <si>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</si>
  <si>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</si>
  <si>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</si>
  <si>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</si>
  <si>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</si>
  <si>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</si>
  <si>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</si>
  <si>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</si>
  <si>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</si>
  <si>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</si>
  <si>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</si>
  <si>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</si>
  <si>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</si>
  <si>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</si>
  <si>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</si>
  <si>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</si>
  <si>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</si>
  <si>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</si>
  <si>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</si>
  <si>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</si>
  <si>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</si>
  <si>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</si>
  <si>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</si>
  <si>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</si>
  <si>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</si>
  <si>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</si>
  <si>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</si>
  <si>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</si>
  <si>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</si>
  <si>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</si>
  <si>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</si>
  <si>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</si>
  <si>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</si>
  <si>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</si>
  <si>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</si>
  <si>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</si>
  <si>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</si>
  <si>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</si>
  <si>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</si>
  <si>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</si>
  <si>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</si>
  <si>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</si>
  <si>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</si>
  <si>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</si>
  <si>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</si>
  <si>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</si>
  <si>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</si>
  <si>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</si>
  <si>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</si>
  <si>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</si>
  <si>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</si>
  <si>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</si>
  <si>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</si>
  <si>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</si>
  <si>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</si>
  <si>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</si>
  <si>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</si>
  <si>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</si>
  <si>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</si>
  <si>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</si>
  <si>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</si>
  <si>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</si>
  <si>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</si>
  <si>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</si>
  <si>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</si>
  <si>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</si>
  <si>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</si>
  <si>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</si>
  <si>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</si>
  <si>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</si>
  <si>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</si>
  <si>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</si>
  <si>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</si>
  <si>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</si>
  <si>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</si>
  <si>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</si>
  <si>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</si>
  <si>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</si>
  <si>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</si>
  <si>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</si>
  <si>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</si>
  <si>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</si>
  <si>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</si>
  <si>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</si>
  <si>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</si>
  <si>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</si>
  <si>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</si>
  <si>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</si>
  <si>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</si>
  <si>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</si>
  <si>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</si>
  <si>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</si>
  <si>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</si>
  <si>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</si>
  <si>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</si>
  <si>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</si>
  <si>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</si>
  <si>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</si>
  <si>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</si>
  <si>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</si>
  <si>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</si>
  <si>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</si>
  <si>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</si>
  <si>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</si>
  <si>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</si>
  <si>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</si>
  <si>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</si>
  <si>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</si>
  <si>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</si>
  <si>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</si>
  <si>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</si>
  <si>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</si>
  <si>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</si>
  <si>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</si>
  <si>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</si>
  <si>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</si>
  <si>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</si>
  <si>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</si>
  <si>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</si>
  <si>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</si>
  <si>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</si>
  <si>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</si>
  <si>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</si>
  <si>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</si>
  <si>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</si>
  <si>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</si>
  <si>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</si>
  <si>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</si>
  <si>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</si>
  <si>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</si>
  <si>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</si>
  <si>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</si>
  <si>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</si>
  <si>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</si>
  <si>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</si>
  <si>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</si>
  <si>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</si>
  <si>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</si>
  <si>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</si>
  <si>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</si>
  <si>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</si>
  <si>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</si>
  <si>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</si>
  <si>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</si>
  <si>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</si>
  <si>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</si>
  <si>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</si>
  <si>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</si>
  <si>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</si>
  <si>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</si>
  <si>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</si>
  <si>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</si>
  <si>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</si>
  <si>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</si>
  <si>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</si>
  <si>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</si>
  <si>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</si>
  <si>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</si>
  <si>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</si>
  <si>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</si>
  <si>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</si>
  <si>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</si>
  <si>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</si>
  <si>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</si>
  <si>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</si>
  <si>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</si>
  <si>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</si>
  <si>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</si>
  <si>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</si>
  <si>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</si>
  <si>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</si>
  <si>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</si>
  <si>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</si>
  <si>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</si>
  <si>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</si>
  <si>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</si>
  <si>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</si>
  <si>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</si>
  <si>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</si>
  <si>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</si>
  <si>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</si>
  <si>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</si>
  <si>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</si>
  <si>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</si>
  <si>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</si>
  <si>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</si>
  <si>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</si>
  <si>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</si>
  <si>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</si>
  <si>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</si>
  <si>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</si>
  <si>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</si>
  <si>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</si>
  <si>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</si>
  <si>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</si>
  <si>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</si>
  <si>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</si>
  <si>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</si>
  <si>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</si>
  <si>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</si>
  <si>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</si>
  <si>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</si>
  <si>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</si>
  <si>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</si>
  <si>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</si>
  <si>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</si>
  <si>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</si>
  <si>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</si>
  <si>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</si>
  <si>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</si>
  <si>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</si>
  <si>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</si>
  <si>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</si>
  <si>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</si>
  <si>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</si>
  <si>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</si>
  <si>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</si>
  <si>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</si>
  <si>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</si>
  <si>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</si>
  <si>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</si>
  <si>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</si>
  <si>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</si>
  <si>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</si>
  <si>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</si>
  <si>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</si>
  <si>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</si>
  <si>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</si>
  <si>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</si>
  <si>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</si>
  <si>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</si>
  <si>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</si>
  <si>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</si>
  <si>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</si>
  <si>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</si>
  <si>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</si>
  <si>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</si>
  <si>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</si>
  <si>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</si>
  <si>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</si>
  <si>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</si>
  <si>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</si>
  <si>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</si>
  <si>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</si>
  <si>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</si>
  <si>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</si>
  <si>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</si>
  <si>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</si>
  <si>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</si>
  <si>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</si>
  <si>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</si>
  <si>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</si>
  <si>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</si>
  <si>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</si>
  <si>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</si>
  <si>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</si>
  <si>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</si>
  <si>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</si>
  <si>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</si>
  <si>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</si>
  <si>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</si>
  <si>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</si>
  <si>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</si>
  <si>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</si>
  <si>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</si>
  <si>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</si>
  <si>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</si>
  <si>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</si>
  <si>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</si>
  <si>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</si>
  <si>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</si>
  <si>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</si>
  <si>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</si>
  <si>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</si>
  <si>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</si>
  <si>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</si>
  <si>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</si>
  <si>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</si>
  <si>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</si>
  <si>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</si>
  <si>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</si>
  <si>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</si>
  <si>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</si>
  <si>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</si>
  <si>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</si>
  <si>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</si>
  <si>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</si>
  <si>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</si>
  <si>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</si>
  <si>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</si>
  <si>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</si>
  <si>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</si>
  <si>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</si>
  <si>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</si>
  <si>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</si>
  <si>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</si>
  <si>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</si>
  <si>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</si>
  <si>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</si>
  <si>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</si>
  <si>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</si>
  <si>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</si>
  <si>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</si>
  <si>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</si>
  <si>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</si>
  <si>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</si>
  <si>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</si>
  <si>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</si>
  <si>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</si>
  <si>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</si>
  <si>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</si>
  <si>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</si>
  <si>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</si>
  <si>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</si>
  <si>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</si>
  <si>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</si>
  <si>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</si>
  <si>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</si>
  <si>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</si>
  <si>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</si>
  <si>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</si>
  <si>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</si>
  <si>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</si>
  <si>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</si>
  <si>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</si>
  <si>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</si>
  <si>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</si>
  <si>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</si>
  <si>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</si>
  <si>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</si>
  <si>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</si>
  <si>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</si>
  <si>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</si>
  <si>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</si>
  <si>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</si>
  <si>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</si>
  <si>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</si>
  <si>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</si>
  <si>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</si>
  <si>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</si>
  <si>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</si>
  <si>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</si>
  <si>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</si>
  <si>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</si>
  <si>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</si>
  <si>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</si>
  <si>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</si>
  <si>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</si>
  <si>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</si>
  <si>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</si>
  <si>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</si>
  <si>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</si>
  <si>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</si>
  <si>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</si>
  <si>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</si>
  <si>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</si>
  <si>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</si>
  <si>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</si>
  <si>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</si>
  <si>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</si>
  <si>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</si>
  <si>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</si>
  <si>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</si>
  <si>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</si>
  <si>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</si>
  <si>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</si>
  <si>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</si>
  <si>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</si>
  <si>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</si>
  <si>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</si>
  <si>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</si>
  <si>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</si>
  <si>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</si>
  <si>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</si>
  <si>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</si>
  <si>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</si>
  <si>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</si>
  <si>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</si>
  <si>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</si>
  <si>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</si>
  <si>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</si>
  <si>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</si>
  <si>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</si>
  <si>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</si>
  <si>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</si>
  <si>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</si>
  <si>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</si>
  <si>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</si>
  <si>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</si>
  <si>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</si>
  <si>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</si>
  <si>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</si>
  <si>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</si>
  <si>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</si>
  <si>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</si>
  <si>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</si>
  <si>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</si>
  <si>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</si>
  <si>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</si>
  <si>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</si>
  <si>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</si>
  <si>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</si>
  <si>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</si>
  <si>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</si>
  <si>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</si>
  <si>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</si>
  <si>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</si>
  <si>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</si>
  <si>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</si>
  <si>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</si>
  <si>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</si>
  <si>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</si>
  <si>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</si>
  <si>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</si>
  <si>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</si>
  <si>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</si>
  <si>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</si>
  <si>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</si>
  <si>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</si>
  <si>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</si>
  <si>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</si>
  <si>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</si>
  <si>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</si>
  <si>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</si>
  <si>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</si>
  <si>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</si>
  <si>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</si>
  <si>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</si>
  <si>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</si>
  <si>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</si>
  <si>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</si>
  <si>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</si>
  <si>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</si>
  <si>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</si>
  <si>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</si>
  <si>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</si>
  <si>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</si>
  <si>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</si>
  <si>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</si>
  <si>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</si>
  <si>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</si>
  <si>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</si>
  <si>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</si>
  <si>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</si>
  <si>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</si>
  <si>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</si>
  <si>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</si>
  <si>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</si>
  <si>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</si>
  <si>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</si>
  <si>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</si>
  <si>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</si>
  <si>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</si>
  <si>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</si>
  <si>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</si>
  <si>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</si>
  <si>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</si>
  <si>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</si>
  <si>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</si>
  <si>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</si>
  <si>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</si>
  <si>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</si>
  <si>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</si>
  <si>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</si>
  <si>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</si>
  <si>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</si>
  <si>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</si>
  <si>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</si>
  <si>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</si>
  <si>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</si>
  <si>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</si>
  <si>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</si>
  <si>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</si>
  <si>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</si>
  <si>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</si>
  <si>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</si>
  <si>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</si>
  <si>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</si>
  <si>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</si>
  <si>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</si>
  <si>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</si>
  <si>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</si>
  <si>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</si>
  <si>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</si>
  <si>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</si>
  <si>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</si>
  <si>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</si>
  <si>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</si>
  <si>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</si>
  <si>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</si>
  <si>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</si>
  <si>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</si>
  <si>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</si>
  <si>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</si>
  <si>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</si>
  <si>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</si>
  <si>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</si>
  <si>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</si>
  <si>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</si>
  <si>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</si>
  <si>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</si>
  <si>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</si>
  <si>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</si>
  <si>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</si>
  <si>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</si>
  <si>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</si>
  <si>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</si>
  <si>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</si>
  <si>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</si>
  <si>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</si>
  <si>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</si>
  <si>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</si>
  <si>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</si>
  <si>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</si>
  <si>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</si>
  <si>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</si>
  <si>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</si>
  <si>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</si>
  <si>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</si>
  <si>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</si>
  <si>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</si>
  <si>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</si>
  <si>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</si>
  <si>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</si>
  <si>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</si>
  <si>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</si>
  <si>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</si>
  <si>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</si>
  <si>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</si>
  <si>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</si>
  <si>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</si>
  <si>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</si>
  <si>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</si>
  <si>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</si>
  <si>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</si>
  <si>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</si>
  <si>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</si>
  <si>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</si>
  <si>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</si>
  <si>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</si>
  <si>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</si>
  <si>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</si>
  <si>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</si>
  <si>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</si>
  <si>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</si>
  <si>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</si>
  <si>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</si>
  <si>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</si>
  <si>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</si>
  <si>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</si>
  <si>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</si>
  <si>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</si>
  <si>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</si>
  <si>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</si>
  <si>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</si>
  <si>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</si>
  <si>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</si>
  <si>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</si>
  <si>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</si>
  <si>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</si>
  <si>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</si>
  <si>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</si>
  <si>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</si>
  <si>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</si>
  <si>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</si>
  <si>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</si>
  <si>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</si>
  <si>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</si>
  <si>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</si>
  <si>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</si>
  <si>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</si>
  <si>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</si>
  <si>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</si>
  <si>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</si>
  <si>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</si>
  <si>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</si>
  <si>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</si>
  <si>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</si>
  <si>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</si>
  <si>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</si>
  <si>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</si>
  <si>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</si>
  <si>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</si>
  <si>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</si>
  <si>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</si>
  <si>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</si>
  <si>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</si>
  <si>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</si>
  <si>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</si>
  <si>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</si>
  <si>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</si>
  <si>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</si>
  <si>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</si>
  <si>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</si>
  <si>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</si>
  <si>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</si>
  <si>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</si>
  <si>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</si>
  <si>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</si>
  <si>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</si>
  <si>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</si>
  <si>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</si>
  <si>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</si>
  <si>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</si>
  <si>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</si>
  <si>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</si>
  <si>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</si>
  <si>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</si>
  <si>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</si>
  <si>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</si>
  <si>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</si>
  <si>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</si>
  <si>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</si>
  <si>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</si>
  <si>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</si>
  <si>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</si>
  <si>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</si>
  <si>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</si>
  <si>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</si>
  <si>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</si>
  <si>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</si>
  <si>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</si>
  <si>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</si>
  <si>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</si>
  <si>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</si>
  <si>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</si>
  <si>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</si>
  <si>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</si>
  <si>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</si>
  <si>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</si>
  <si>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</si>
  <si>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</si>
  <si>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</si>
  <si>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</si>
  <si>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</si>
  <si>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</si>
  <si>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</si>
  <si>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</si>
  <si>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</si>
  <si>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</si>
  <si>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</si>
  <si>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</si>
  <si>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</si>
  <si>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</si>
  <si>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</si>
  <si>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</si>
  <si>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</si>
  <si>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</si>
  <si>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</si>
  <si>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</si>
  <si>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</si>
  <si>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</si>
  <si>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</si>
  <si>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</si>
  <si>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</si>
  <si>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</si>
  <si>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</si>
  <si>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</si>
  <si>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</si>
  <si>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</si>
  <si>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</si>
  <si>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</si>
  <si>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</si>
  <si>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</si>
  <si>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</si>
  <si>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</si>
  <si>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</si>
  <si>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</si>
  <si>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</si>
  <si>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</si>
  <si>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</si>
  <si>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</si>
  <si>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</si>
  <si>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</si>
  <si>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</si>
  <si>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</si>
  <si>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</si>
  <si>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</si>
  <si>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</si>
  <si>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</si>
  <si>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</si>
  <si>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</si>
  <si>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</si>
  <si>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</si>
  <si>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</si>
  <si>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</si>
  <si>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</si>
  <si>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</si>
  <si>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</si>
  <si>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</si>
  <si>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</si>
  <si>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</si>
  <si>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</si>
  <si>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</si>
  <si>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</si>
  <si>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</si>
  <si>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</si>
  <si>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</si>
  <si>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</si>
  <si>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</si>
  <si>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</si>
  <si>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</si>
  <si>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</si>
  <si>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</si>
  <si>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</si>
  <si>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</si>
  <si>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</si>
  <si>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</si>
  <si>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</si>
  <si>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</si>
  <si>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</si>
  <si>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</si>
  <si>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</si>
  <si>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</si>
  <si>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</si>
  <si>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</si>
  <si>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</si>
  <si>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</si>
  <si>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</si>
  <si>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</si>
  <si>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</si>
  <si>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</si>
  <si>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</si>
  <si>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</si>
  <si>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</si>
  <si>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</si>
  <si>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</si>
  <si>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</si>
  <si>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</si>
  <si>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</si>
  <si>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</si>
  <si>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</si>
  <si>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</si>
  <si>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</si>
  <si>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</si>
  <si>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</si>
  <si>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</si>
  <si>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</si>
  <si>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</si>
  <si>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</si>
  <si>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</si>
  <si>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</si>
  <si>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</si>
  <si>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</si>
  <si>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</si>
  <si>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</si>
  <si>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</si>
  <si>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</si>
  <si>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</si>
  <si>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</si>
  <si>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</si>
  <si>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</si>
  <si>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</si>
  <si>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</si>
  <si>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</si>
  <si>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</si>
  <si>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</si>
  <si>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</si>
  <si>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</si>
  <si>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</si>
  <si>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</si>
  <si>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</si>
  <si>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</si>
  <si>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</si>
  <si>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</si>
  <si>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</si>
  <si>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</si>
  <si>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</si>
  <si>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</si>
  <si>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</si>
  <si>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</si>
  <si>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</si>
  <si>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</si>
  <si>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</si>
  <si>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</si>
  <si>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</si>
  <si>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</si>
  <si>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</si>
  <si>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</si>
  <si>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</si>
  <si>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</si>
  <si>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</si>
  <si>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</si>
  <si>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</si>
  <si>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</si>
  <si>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</si>
  <si>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</si>
  <si>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</si>
  <si>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</si>
  <si>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</si>
  <si>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</si>
  <si>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</si>
  <si>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</si>
  <si>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</si>
  <si>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</si>
  <si>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</si>
  <si>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</si>
  <si>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</si>
  <si>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</si>
  <si>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</si>
  <si>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</si>
  <si>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</si>
  <si>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</si>
  <si>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</si>
  <si>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</si>
  <si>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</si>
  <si>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</si>
  <si>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</si>
  <si>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</si>
  <si>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</si>
  <si>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</si>
  <si>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</si>
  <si>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</si>
  <si>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</si>
  <si>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</si>
  <si>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</si>
  <si>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</si>
  <si>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</si>
  <si>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</si>
  <si>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</si>
  <si>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</si>
  <si>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</si>
  <si>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</si>
  <si>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</si>
  <si>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</si>
  <si>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</si>
  <si>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</si>
  <si>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</si>
  <si>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</si>
  <si>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</si>
  <si>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</si>
  <si>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</si>
  <si>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</si>
  <si>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</si>
  <si>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</si>
  <si>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</si>
  <si>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</si>
  <si>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</si>
  <si>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</si>
  <si>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</si>
  <si>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</si>
  <si>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</si>
  <si>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</si>
  <si>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</si>
  <si>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</si>
  <si>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</si>
  <si>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</si>
  <si>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</si>
  <si>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</si>
  <si>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</si>
  <si>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</si>
  <si>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</si>
  <si>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</si>
  <si>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</si>
  <si>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</si>
  <si>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</si>
  <si>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</si>
  <si>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</si>
  <si>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</si>
  <si>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</si>
  <si>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</si>
  <si>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</si>
  <si>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</si>
  <si>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</si>
  <si>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</si>
  <si>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</si>
  <si>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</si>
  <si>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</si>
  <si>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</si>
  <si>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</si>
  <si>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</si>
  <si>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</si>
  <si>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</si>
  <si>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</si>
  <si>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</si>
  <si>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</si>
  <si>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</si>
  <si>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</si>
  <si>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</si>
  <si>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</si>
  <si>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</si>
  <si>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</si>
  <si>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</si>
  <si>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</si>
  <si>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</si>
  <si>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</si>
  <si>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</si>
  <si>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</si>
  <si>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</si>
  <si>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</si>
  <si>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</si>
  <si>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</si>
  <si>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</si>
  <si>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</si>
  <si>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</si>
  <si>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</si>
  <si>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</si>
  <si>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</si>
  <si>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</si>
  <si>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</si>
  <si>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</si>
  <si>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</si>
  <si>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</si>
  <si>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</si>
  <si>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</si>
  <si>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</si>
  <si>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</si>
  <si>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</si>
  <si>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</si>
  <si>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</si>
  <si>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</si>
  <si>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</si>
  <si>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</si>
  <si>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</si>
  <si>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</si>
  <si>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</si>
  <si>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</si>
  <si>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</si>
  <si>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</si>
  <si>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</si>
  <si>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</si>
  <si>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</si>
  <si>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</si>
  <si>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</si>
  <si>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</si>
  <si>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</si>
  <si>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</si>
  <si>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</si>
  <si>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</si>
  <si>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</si>
  <si>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</si>
  <si>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</si>
  <si>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</si>
  <si>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</si>
  <si>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</si>
  <si>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</si>
  <si>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</si>
  <si>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</si>
  <si>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</si>
  <si>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</si>
  <si>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</si>
  <si>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</si>
  <si>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</si>
  <si>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</si>
  <si>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</si>
  <si>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</si>
  <si>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</si>
  <si>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</si>
  <si>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</si>
  <si>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</si>
  <si>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</si>
  <si>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</si>
  <si>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</si>
  <si>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</si>
  <si>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</si>
  <si>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</si>
  <si>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</si>
  <si>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</si>
  <si>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</si>
  <si>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</si>
  <si>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</si>
  <si>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</si>
  <si>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</si>
  <si>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</si>
  <si>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</si>
  <si>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</si>
  <si>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</si>
  <si>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</si>
  <si>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</si>
  <si>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</si>
  <si>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</si>
  <si>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</si>
  <si>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</si>
  <si>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</si>
  <si>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</si>
  <si>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</si>
  <si>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</si>
  <si>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</si>
  <si>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</si>
  <si>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</si>
  <si>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</si>
  <si>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</si>
  <si>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</si>
  <si>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</si>
  <si>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</si>
  <si>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</si>
  <si>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</si>
  <si>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</si>
  <si>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</si>
  <si>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</si>
  <si>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</si>
  <si>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</si>
  <si>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</si>
  <si>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</si>
  <si>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</si>
  <si>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</si>
  <si>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</si>
  <si>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</si>
  <si>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</si>
  <si>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</si>
  <si>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</si>
  <si>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</si>
  <si>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</si>
  <si>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</si>
  <si>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</si>
  <si>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</si>
  <si>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</si>
  <si>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</si>
  <si>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</si>
  <si>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</si>
  <si>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</si>
  <si>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</si>
  <si>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</si>
  <si>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</si>
  <si>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</si>
  <si>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</si>
  <si>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</si>
  <si>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</si>
  <si>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</si>
  <si>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</si>
  <si>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</si>
  <si>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</si>
  <si>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</si>
  <si>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</si>
  <si>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</si>
  <si>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</si>
  <si>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</si>
  <si>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</si>
  <si>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</si>
  <si>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</si>
  <si>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</si>
  <si>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</si>
  <si>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</si>
  <si>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</si>
  <si>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</si>
  <si>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</si>
  <si>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</si>
  <si>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</si>
  <si>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</si>
  <si>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</si>
  <si>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</si>
  <si>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</si>
  <si>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</si>
  <si>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</si>
  <si>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</si>
  <si>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</si>
  <si>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</si>
  <si>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</si>
  <si>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</si>
  <si>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</si>
  <si>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</si>
  <si>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</si>
  <si>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</si>
  <si>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</si>
  <si>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</si>
  <si>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</si>
  <si>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</si>
  <si>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</si>
  <si>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</si>
  <si>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</si>
  <si>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</si>
  <si>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</si>
  <si>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</si>
  <si>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</si>
  <si>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</si>
  <si>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</si>
  <si>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</si>
  <si>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</si>
  <si>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</si>
  <si>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</si>
  <si>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</si>
  <si>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</si>
  <si>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</si>
  <si>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</si>
  <si>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</si>
  <si>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</si>
  <si>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</si>
  <si>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</si>
  <si>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</si>
  <si>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</si>
  <si>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</si>
  <si>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</si>
  <si>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</si>
  <si>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</si>
  <si>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</si>
  <si>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</si>
  <si>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</si>
  <si>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</si>
  <si>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</si>
  <si>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</si>
  <si>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</si>
  <si>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</si>
  <si>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</si>
  <si>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</si>
  <si>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</si>
  <si>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</si>
  <si>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</si>
  <si>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</si>
  <si>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</si>
  <si>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</si>
  <si>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</si>
  <si>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</si>
  <si>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</si>
  <si>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</si>
  <si>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</si>
  <si>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</si>
  <si>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</si>
  <si>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</si>
  <si>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</si>
  <si>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</si>
  <si>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</si>
  <si>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</si>
  <si>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</si>
  <si>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</si>
  <si>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</si>
  <si>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</si>
  <si>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</si>
  <si>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</si>
  <si>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</si>
  <si>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</si>
  <si>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</si>
  <si>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</si>
  <si>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</si>
  <si>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</si>
  <si>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</si>
  <si>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</si>
  <si>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</si>
  <si>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</si>
  <si>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</si>
  <si>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</si>
  <si>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</si>
  <si>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</si>
  <si>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</si>
  <si>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</si>
  <si>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</si>
  <si>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</si>
  <si>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</si>
  <si>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</si>
  <si>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</si>
  <si>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</si>
  <si>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</si>
  <si>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</si>
  <si>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</si>
  <si>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</si>
  <si>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</si>
  <si>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</si>
  <si>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</si>
  <si>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</si>
  <si>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</si>
  <si>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</si>
  <si>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</si>
  <si>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</si>
  <si>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</si>
  <si>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</si>
  <si>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</si>
  <si>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</si>
  <si>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</si>
  <si>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</si>
  <si>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</si>
  <si>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</si>
  <si>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</si>
  <si>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</si>
  <si>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</si>
  <si>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</si>
  <si>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</si>
  <si>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</si>
  <si>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</si>
  <si>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</si>
  <si>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</si>
  <si>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</si>
  <si>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</si>
  <si>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</si>
  <si>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</si>
  <si>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</si>
  <si>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</si>
  <si>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</si>
  <si>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</si>
  <si>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</si>
  <si>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</si>
  <si>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</si>
  <si>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</si>
  <si>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</si>
  <si>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</si>
  <si>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</si>
  <si>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</si>
  <si>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</si>
  <si>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</si>
  <si>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</si>
  <si>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</si>
  <si>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</si>
  <si>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</si>
  <si>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</si>
  <si>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</si>
  <si>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</si>
  <si>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</si>
  <si>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</si>
  <si>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</si>
  <si>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</si>
  <si>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</si>
  <si>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</si>
  <si>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</si>
  <si>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</si>
  <si>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</si>
  <si>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</si>
  <si>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</si>
  <si>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</si>
  <si>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</si>
  <si>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</si>
  <si>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</si>
  <si>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</si>
  <si>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</si>
  <si>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</si>
  <si>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</si>
  <si>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</si>
  <si>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</si>
  <si>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</si>
  <si>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</si>
  <si>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</si>
  <si>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</si>
  <si>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</si>
  <si>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</si>
  <si>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</si>
  <si>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</si>
  <si>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</si>
  <si>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</si>
  <si>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</si>
  <si>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</si>
  <si>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</si>
  <si>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</si>
  <si>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</si>
  <si>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</si>
  <si>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</si>
  <si>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</si>
  <si>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</si>
  <si>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</si>
  <si>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</si>
  <si>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</si>
  <si>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</si>
  <si>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</si>
  <si>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</si>
  <si>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</si>
  <si>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</si>
  <si>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</si>
  <si>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</si>
  <si>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</si>
  <si>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</si>
  <si>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</si>
  <si>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</si>
  <si>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</si>
  <si>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</si>
  <si>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</si>
  <si>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</si>
  <si>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</si>
  <si>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</si>
  <si>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</si>
  <si>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</si>
  <si>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</si>
  <si>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</si>
  <si>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</si>
  <si>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</si>
  <si>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</si>
  <si>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</si>
  <si>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</si>
  <si>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</si>
  <si>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</si>
  <si>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</si>
  <si>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</si>
  <si>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</si>
  <si>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</si>
  <si>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</si>
  <si>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</si>
  <si>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</si>
  <si>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</si>
  <si>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</si>
  <si>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</si>
  <si>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</si>
  <si>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</si>
  <si>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</si>
  <si>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</si>
  <si>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</si>
  <si>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</si>
  <si>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</si>
  <si>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</si>
  <si>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</si>
  <si>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</si>
  <si>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</si>
  <si>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</si>
  <si>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</si>
  <si>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</si>
  <si>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</si>
  <si>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</si>
  <si>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</si>
  <si>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</si>
  <si>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</si>
  <si>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</si>
  <si>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</si>
  <si>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</si>
  <si>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</si>
  <si>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</si>
  <si>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</si>
  <si>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</si>
  <si>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</si>
  <si>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</si>
  <si>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</si>
  <si>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</si>
  <si>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</si>
  <si>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</si>
  <si>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</si>
  <si>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</si>
  <si>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</si>
  <si>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</si>
  <si>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</si>
  <si>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</si>
  <si>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</si>
  <si>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</si>
  <si>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</si>
  <si>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</si>
  <si>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</si>
  <si>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</si>
  <si>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</si>
  <si>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</si>
  <si>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</si>
  <si>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</si>
  <si>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</si>
  <si>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</si>
  <si>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</si>
  <si>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</si>
  <si>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</si>
  <si>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</si>
  <si>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</si>
  <si>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</si>
  <si>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</si>
  <si>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</si>
  <si>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</si>
  <si>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</si>
  <si>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</si>
  <si>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</si>
  <si>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</si>
  <si>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</si>
  <si>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</si>
  <si>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</si>
  <si>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</si>
  <si>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</si>
  <si>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</si>
  <si>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</si>
  <si>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</si>
  <si>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</si>
  <si>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</si>
  <si>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</si>
  <si>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</si>
  <si>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</si>
  <si>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</si>
  <si>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</si>
  <si>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</si>
  <si>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</si>
  <si>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</si>
  <si>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</si>
  <si>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</si>
  <si>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</si>
  <si>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</si>
  <si>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</si>
  <si>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</si>
  <si>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</si>
  <si>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</si>
  <si>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</si>
  <si>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</si>
  <si>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</si>
  <si>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</si>
  <si>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</si>
  <si>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</si>
  <si>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</si>
  <si>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</si>
  <si>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</si>
  <si>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</si>
  <si>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</si>
  <si>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</si>
  <si>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</si>
  <si>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</si>
  <si>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</si>
  <si>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</si>
  <si>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</si>
  <si>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</si>
  <si>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</si>
  <si>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</si>
  <si>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</si>
  <si>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</si>
  <si>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</si>
  <si>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</si>
  <si>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</si>
  <si>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</si>
  <si>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</si>
  <si>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</si>
  <si>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</si>
  <si>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</si>
  <si>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</si>
  <si>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</si>
  <si>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</si>
  <si>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</si>
  <si>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</si>
  <si>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</si>
  <si>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</si>
  <si>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</si>
  <si>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</si>
  <si>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</si>
  <si>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</si>
  <si>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</si>
  <si>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</si>
  <si>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</si>
  <si>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</si>
  <si>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</si>
  <si>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</si>
  <si>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</si>
  <si>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</si>
  <si>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</si>
  <si>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</si>
  <si>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</si>
  <si>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</si>
  <si>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</si>
  <si>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</si>
  <si>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</si>
  <si>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</si>
  <si>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</si>
  <si>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</si>
  <si>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</si>
  <si>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</si>
  <si>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</si>
  <si>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</si>
  <si>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</si>
  <si>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</si>
  <si>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</si>
  <si>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</si>
  <si>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</si>
  <si>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</si>
  <si>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</si>
  <si>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</si>
  <si>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</si>
  <si>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</si>
  <si>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</si>
  <si>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</si>
  <si>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</si>
  <si>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</si>
  <si>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</si>
  <si>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</si>
  <si>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</si>
  <si>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</si>
  <si>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</si>
  <si>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</si>
  <si>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</si>
  <si>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</si>
  <si>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</si>
  <si>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</si>
  <si>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</si>
  <si>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</si>
  <si>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</si>
  <si>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</si>
  <si>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</si>
  <si>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</si>
  <si>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</si>
  <si>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</si>
  <si>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</si>
  <si>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</si>
  <si>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</si>
  <si>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</si>
  <si>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</si>
  <si>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</si>
  <si>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</si>
  <si>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</si>
  <si>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</si>
  <si>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</si>
  <si>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</si>
  <si>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</si>
  <si>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</si>
  <si>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</si>
  <si>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</si>
  <si>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</si>
  <si>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</si>
  <si>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</si>
  <si>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</si>
  <si>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</si>
  <si>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</si>
  <si>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</si>
  <si>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</si>
  <si>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</si>
  <si>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</si>
  <si>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</si>
  <si>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</si>
  <si>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</si>
  <si>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</si>
  <si>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</si>
  <si>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</si>
  <si>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</si>
  <si>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</si>
  <si>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</si>
  <si>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</si>
  <si>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</si>
  <si>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</si>
  <si>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</si>
  <si>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</si>
  <si>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</si>
  <si>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</si>
  <si>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</si>
  <si>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</si>
  <si>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</si>
  <si>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</si>
  <si>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</si>
  <si>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</si>
  <si>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</si>
  <si>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</si>
  <si>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</si>
  <si>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</si>
  <si>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</si>
  <si>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</si>
  <si>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</si>
  <si>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</si>
  <si>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</si>
  <si>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</si>
  <si>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</si>
  <si>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</si>
  <si>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</si>
  <si>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</si>
  <si>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</si>
  <si>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</si>
  <si>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</si>
  <si>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</si>
  <si>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</si>
  <si>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</si>
  <si>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</si>
  <si>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</si>
  <si>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</si>
  <si>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</si>
  <si>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</si>
  <si>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</si>
  <si>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</si>
  <si>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</si>
  <si>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</si>
  <si>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</si>
  <si>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</si>
  <si>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</si>
  <si>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</si>
  <si>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</si>
  <si>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</si>
  <si>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</si>
  <si>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</si>
  <si>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</si>
  <si>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</si>
  <si>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</si>
  <si>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</si>
  <si>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</si>
  <si>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</si>
  <si>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</si>
  <si>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</si>
  <si>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</si>
  <si>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</si>
  <si>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</si>
  <si>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</si>
  <si>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</si>
  <si>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</si>
  <si>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</si>
  <si>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</si>
  <si>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</si>
  <si>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</si>
  <si>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</si>
  <si>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</si>
  <si>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</si>
  <si>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</si>
  <si>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</si>
  <si>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</si>
  <si>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</si>
  <si>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</si>
  <si>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</si>
  <si>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</si>
  <si>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</si>
  <si>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</si>
  <si>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</si>
  <si>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</si>
  <si>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</si>
  <si>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</si>
  <si>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</si>
  <si>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</si>
  <si>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</si>
  <si>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</si>
  <si>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</si>
  <si>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</si>
  <si>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</si>
  <si>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</si>
  <si>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</si>
  <si>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</si>
  <si>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</si>
  <si>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</si>
  <si>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</si>
  <si>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</si>
  <si>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</si>
  <si>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</si>
  <si>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</si>
  <si>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</si>
  <si>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</si>
  <si>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</si>
  <si>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</si>
  <si>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</si>
  <si>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</si>
  <si>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</si>
  <si>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</si>
  <si>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</si>
  <si>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</si>
  <si>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</si>
  <si>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</si>
  <si>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</si>
  <si>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</si>
  <si>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</si>
  <si>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</si>
  <si>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</si>
  <si>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</si>
  <si>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</si>
  <si>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</si>
  <si>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</si>
  <si>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</si>
  <si>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</si>
  <si>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</si>
  <si>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</si>
  <si>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</si>
  <si>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</si>
  <si>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</si>
  <si>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</si>
  <si>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</si>
  <si>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</si>
  <si>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</si>
  <si>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</si>
  <si>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</si>
  <si>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</si>
  <si>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</si>
  <si>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</si>
  <si>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</si>
  <si>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</si>
  <si>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</si>
  <si>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</si>
  <si>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</si>
  <si>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</si>
  <si>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</si>
  <si>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</si>
  <si>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</si>
  <si>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</si>
  <si>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</si>
  <si>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</si>
  <si>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</si>
  <si>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</si>
  <si>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</si>
  <si>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</si>
  <si>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</si>
  <si>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</si>
  <si>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</si>
  <si>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</si>
  <si>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</si>
  <si>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</si>
  <si>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</si>
  <si>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</si>
  <si>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</si>
  <si>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</si>
  <si>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</si>
  <si>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</si>
  <si>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</si>
  <si>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</si>
  <si>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</si>
  <si>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</si>
  <si>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</si>
  <si>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</si>
  <si>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</si>
  <si>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</si>
  <si>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</si>
  <si>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</si>
  <si>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</si>
  <si>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</si>
  <si>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</si>
  <si>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</si>
  <si>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</si>
  <si>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</si>
  <si>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</si>
  <si>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</si>
  <si>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</si>
  <si>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</si>
  <si>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</si>
  <si>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</si>
  <si>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</si>
  <si>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</si>
  <si>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</si>
  <si>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</si>
  <si>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</si>
  <si>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</si>
  <si>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</si>
  <si>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</si>
  <si>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</si>
  <si>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</si>
  <si>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</si>
  <si>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</si>
  <si>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</si>
  <si>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</si>
  <si>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</si>
  <si>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</si>
  <si>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</si>
  <si>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</si>
  <si>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</si>
  <si>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</si>
  <si>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</si>
  <si>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</si>
  <si>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</si>
  <si>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</si>
  <si>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</si>
  <si>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</si>
  <si>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</si>
  <si>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</si>
  <si>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</si>
  <si>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</si>
  <si>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</si>
  <si>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</si>
  <si>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</si>
  <si>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</si>
  <si>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</si>
  <si>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</si>
  <si>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</si>
  <si>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</si>
  <si>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</si>
  <si>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</si>
  <si>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</si>
  <si>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</si>
  <si>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</si>
  <si>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</si>
  <si>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</si>
  <si>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</si>
  <si>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</si>
  <si>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</si>
  <si>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</si>
  <si>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</si>
  <si>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</si>
  <si>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</si>
  <si>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</si>
  <si>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</si>
  <si>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</si>
  <si>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</si>
  <si>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</si>
  <si>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</si>
  <si>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</si>
  <si>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</si>
  <si>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</si>
  <si>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</si>
  <si>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</si>
  <si>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</si>
  <si>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</si>
  <si>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</si>
  <si>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</si>
  <si>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</si>
  <si>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</si>
  <si>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</si>
  <si>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</si>
  <si>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</si>
  <si>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</si>
  <si>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</si>
  <si>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</si>
  <si>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</si>
  <si>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</si>
  <si>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</si>
  <si>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</si>
  <si>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</si>
  <si>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</si>
  <si>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</si>
  <si>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</si>
  <si>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</si>
  <si>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</si>
  <si>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</si>
  <si>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</si>
  <si>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</si>
  <si>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</si>
  <si>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</si>
  <si>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</si>
  <si>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</si>
  <si>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</si>
  <si>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</si>
  <si>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</si>
  <si>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</si>
  <si>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</si>
  <si>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</si>
  <si>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</si>
  <si>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</si>
  <si>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</si>
  <si>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</si>
  <si>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</si>
  <si>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</si>
  <si>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</si>
  <si>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</si>
  <si>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</si>
  <si>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</si>
  <si>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</si>
  <si>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</si>
  <si>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</si>
  <si>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</si>
  <si>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</si>
  <si>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</si>
  <si>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</si>
  <si>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</si>
  <si>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</si>
  <si>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</si>
  <si>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</si>
  <si>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</si>
  <si>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</si>
  <si>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</si>
  <si>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</si>
  <si>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</si>
  <si>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</si>
  <si>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</si>
  <si>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</si>
  <si>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</si>
  <si>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</si>
  <si>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</si>
  <si>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</si>
  <si>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</si>
  <si>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</si>
  <si>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</si>
  <si>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</si>
  <si>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</si>
  <si>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</si>
  <si>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</si>
  <si>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</si>
  <si>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</si>
  <si>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</si>
  <si>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</si>
  <si>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</si>
  <si>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</si>
  <si>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</si>
  <si>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</si>
  <si>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</si>
  <si>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</si>
  <si>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</si>
  <si>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</si>
  <si>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</si>
  <si>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</si>
  <si>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</si>
  <si>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</si>
  <si>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</si>
  <si>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</si>
  <si>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</si>
  <si>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</si>
  <si>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</si>
  <si>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</si>
  <si>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</si>
  <si>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</si>
  <si>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</si>
  <si>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</si>
  <si>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</si>
  <si>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</si>
  <si>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</si>
  <si>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</si>
  <si>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</si>
  <si>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</si>
  <si>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</si>
  <si>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</si>
  <si>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</si>
  <si>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</si>
  <si>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</si>
  <si>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</si>
  <si>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</si>
  <si>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</si>
  <si>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</si>
  <si>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</si>
  <si>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</si>
  <si>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</si>
  <si>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</si>
  <si>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</si>
  <si>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</si>
  <si>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</si>
  <si>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</si>
  <si>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</si>
  <si>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</si>
  <si>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</si>
  <si>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</si>
  <si>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</si>
  <si>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</si>
  <si>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</si>
  <si>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</si>
  <si>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</si>
  <si>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</si>
  <si>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</si>
  <si>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</si>
  <si>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</si>
  <si>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</si>
  <si>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</si>
  <si>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</si>
  <si>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</si>
  <si>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</si>
  <si>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</si>
  <si>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</si>
  <si>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</si>
  <si>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</si>
  <si>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</si>
  <si>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</si>
  <si>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</si>
  <si>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</si>
  <si>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</si>
  <si>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</si>
  <si>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</si>
  <si>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</si>
  <si>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</si>
  <si>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</si>
  <si>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</si>
  <si>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</si>
  <si>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</si>
  <si>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</si>
  <si>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</si>
  <si>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</si>
  <si>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</si>
  <si>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</si>
  <si>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</si>
  <si>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</si>
  <si>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</si>
  <si>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</si>
  <si>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</si>
  <si>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</si>
  <si>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</si>
  <si>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</si>
  <si>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</si>
  <si>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</si>
  <si>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</si>
  <si>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</si>
  <si>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</si>
  <si>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</si>
  <si>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</si>
  <si>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</si>
  <si>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</si>
  <si>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</si>
  <si>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</si>
  <si>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</si>
  <si>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</si>
  <si>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</si>
  <si>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</si>
  <si>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</si>
  <si>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</si>
  <si>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</si>
  <si>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</si>
  <si>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</si>
  <si>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</si>
  <si>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</si>
  <si>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</si>
  <si>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</si>
  <si>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</si>
  <si>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</si>
  <si>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</si>
  <si>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</si>
  <si>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</si>
  <si>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</si>
  <si>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</si>
  <si>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</si>
  <si>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</si>
  <si>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</si>
  <si>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</si>
  <si>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</si>
  <si>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</si>
  <si>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</si>
  <si>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</si>
  <si>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</si>
  <si>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</si>
  <si>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</si>
  <si>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</si>
  <si>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</si>
  <si>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</si>
  <si>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</si>
  <si>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</si>
  <si>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</si>
  <si>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</si>
  <si>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</si>
  <si>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</si>
  <si>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</si>
  <si>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</si>
  <si>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</si>
  <si>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</si>
  <si>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</si>
  <si>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</si>
  <si>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</si>
  <si>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</si>
  <si>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</si>
  <si>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</si>
  <si>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</si>
  <si>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</si>
  <si>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</si>
  <si>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</si>
  <si>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</si>
  <si>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</si>
  <si>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</si>
  <si>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</si>
  <si>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</si>
  <si>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</si>
  <si>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</si>
  <si>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</si>
  <si>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</si>
  <si>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</si>
  <si>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</si>
  <si>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</si>
  <si>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</si>
  <si>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</si>
  <si>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</si>
  <si>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</si>
  <si>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</si>
  <si>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</si>
  <si>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</si>
  <si>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</si>
  <si>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</si>
  <si>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</si>
  <si>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</si>
  <si>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</si>
  <si>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</si>
  <si>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</si>
  <si>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</si>
  <si>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</si>
  <si>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</si>
  <si>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</si>
  <si>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</si>
  <si>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</si>
  <si>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</si>
  <si>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</si>
  <si>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</si>
  <si>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</si>
  <si>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</si>
  <si>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</si>
  <si>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</si>
  <si>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</si>
  <si>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</si>
  <si>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</si>
  <si>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</si>
  <si>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</si>
  <si>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</si>
  <si>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</si>
  <si>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</si>
  <si>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</si>
  <si>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</si>
  <si>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</si>
  <si>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</si>
  <si>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</si>
  <si>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</si>
  <si>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</si>
  <si>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</si>
  <si>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</si>
  <si>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</si>
  <si>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</si>
  <si>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</si>
  <si>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</si>
  <si>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</si>
  <si>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</si>
  <si>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</si>
  <si>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</si>
  <si>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</si>
  <si>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</si>
  <si>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</si>
  <si>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</si>
  <si>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</si>
  <si>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</si>
  <si>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</si>
  <si>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</si>
  <si>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</si>
  <si>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</si>
  <si>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</si>
  <si>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</si>
  <si>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</si>
  <si>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</si>
  <si>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</si>
  <si>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</si>
  <si>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</si>
  <si>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</si>
  <si>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</si>
  <si>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</si>
  <si>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</si>
  <si>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</si>
  <si>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</si>
  <si>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</si>
  <si>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</si>
  <si>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</si>
  <si>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</si>
  <si>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</si>
  <si>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</si>
  <si>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</si>
  <si>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</si>
  <si>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</si>
  <si>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</si>
  <si>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</si>
  <si>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</si>
  <si>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</si>
  <si>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</si>
  <si>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</si>
  <si>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</si>
  <si>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</si>
  <si>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</si>
  <si>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</si>
  <si>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</si>
  <si>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</si>
  <si>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</si>
  <si>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</si>
  <si>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</si>
  <si>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</si>
  <si>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</si>
  <si>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</si>
  <si>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</si>
  <si>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</si>
  <si>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</si>
  <si>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</si>
  <si>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</si>
  <si>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</si>
  <si>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</si>
  <si>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</si>
  <si>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</si>
  <si>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</si>
  <si>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</si>
  <si>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</si>
  <si>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</si>
  <si>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</si>
  <si>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</si>
  <si>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</si>
  <si>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</si>
  <si>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</si>
  <si>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</si>
  <si>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</si>
  <si>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</si>
  <si>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</si>
  <si>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</si>
  <si>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</si>
  <si>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</si>
  <si>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</si>
  <si>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</si>
  <si>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</si>
  <si>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</si>
  <si>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</si>
  <si>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</si>
  <si>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</si>
  <si>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</si>
  <si>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</si>
  <si>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</si>
  <si>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</si>
  <si>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</si>
  <si>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</si>
  <si>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</si>
  <si>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</si>
  <si>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</si>
  <si>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</si>
  <si>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</si>
  <si>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</si>
  <si>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</si>
  <si>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</si>
  <si>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</si>
  <si>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</si>
  <si>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</si>
  <si>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</si>
  <si>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</si>
  <si>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</si>
  <si>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</si>
  <si>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</si>
  <si>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</si>
  <si>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</si>
  <si>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</si>
  <si>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</si>
  <si>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</si>
  <si>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</si>
  <si>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</si>
  <si>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</si>
  <si>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</si>
  <si>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</si>
  <si>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</si>
  <si>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</si>
  <si>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</si>
  <si>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</si>
  <si>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</si>
  <si>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</si>
  <si>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</si>
  <si>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</si>
  <si>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</si>
  <si>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</si>
  <si>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</si>
  <si>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</si>
  <si>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</si>
  <si>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</si>
  <si>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</si>
  <si>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</si>
  <si>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</si>
  <si>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</si>
  <si>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</si>
  <si>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</si>
  <si>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</si>
  <si>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</si>
  <si>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</si>
  <si>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</si>
  <si>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</si>
  <si>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</si>
  <si>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</si>
  <si>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</si>
  <si>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</si>
  <si>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</si>
  <si>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</si>
  <si>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</si>
  <si>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</si>
  <si>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</si>
  <si>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</si>
  <si>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</si>
  <si>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</si>
  <si>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</si>
  <si>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</si>
  <si>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</si>
  <si>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</si>
  <si>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</si>
  <si>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</si>
  <si>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</si>
  <si>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</si>
  <si>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</si>
  <si>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</si>
  <si>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</si>
  <si>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</si>
  <si>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</si>
  <si>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</si>
  <si>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</si>
  <si>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</si>
  <si>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</si>
  <si>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</si>
  <si>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</si>
  <si>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</si>
  <si>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</si>
  <si>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</si>
  <si>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</si>
  <si>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</si>
  <si>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</si>
  <si>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</si>
  <si>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</si>
  <si>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</si>
  <si>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</si>
  <si>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</si>
  <si>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</si>
  <si>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</si>
  <si>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</si>
  <si>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</si>
  <si>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</si>
  <si>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</si>
  <si>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</si>
  <si>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</si>
  <si>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</si>
  <si>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</si>
  <si>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</si>
  <si>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</si>
  <si>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</si>
  <si>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</si>
  <si>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</si>
  <si>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</si>
  <si>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</si>
  <si>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</si>
  <si>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</si>
  <si>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</si>
  <si>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</si>
  <si>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</si>
  <si>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</si>
  <si>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</si>
  <si>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</si>
  <si>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</si>
  <si>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</si>
  <si>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</si>
  <si>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</si>
  <si>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</si>
  <si>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</si>
  <si>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</si>
  <si>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</si>
  <si>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</si>
  <si>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</si>
  <si>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</si>
  <si>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</si>
  <si>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</si>
  <si>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</si>
  <si>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</si>
  <si>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</si>
  <si>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</si>
  <si>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</si>
  <si>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</si>
  <si>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</si>
  <si>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</si>
  <si>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</si>
  <si>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</si>
  <si>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</si>
  <si>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</si>
  <si>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</si>
  <si>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</si>
  <si>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</si>
  <si>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</si>
  <si>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</si>
  <si>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</si>
  <si>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</si>
  <si>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</si>
  <si>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</si>
  <si>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</si>
  <si>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</si>
  <si>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</si>
  <si>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</si>
  <si>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</si>
  <si>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</si>
  <si>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</si>
  <si>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</si>
  <si>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</si>
  <si>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</si>
  <si>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</si>
  <si>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</si>
  <si>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</si>
  <si>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</si>
  <si>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</si>
  <si>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</si>
  <si>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</si>
  <si>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</si>
  <si>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</si>
  <si>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</si>
  <si>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</si>
  <si>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</si>
  <si>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</si>
  <si>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</si>
  <si>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</si>
  <si>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</si>
  <si>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</si>
  <si>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</si>
  <si>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</si>
  <si>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</si>
  <si>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</si>
  <si>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</si>
  <si>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</si>
  <si>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</si>
  <si>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</si>
  <si>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</si>
  <si>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</si>
  <si>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</si>
  <si>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</si>
  <si>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</si>
  <si>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</si>
  <si>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</si>
  <si>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</si>
  <si>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</si>
  <si>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</si>
  <si>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</si>
  <si>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</si>
  <si>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</si>
  <si>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</si>
  <si>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</si>
  <si>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</si>
  <si>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</si>
  <si>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</si>
  <si>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</si>
  <si>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</si>
  <si>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</si>
  <si>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</si>
  <si>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</si>
  <si>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</si>
  <si>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</si>
  <si>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</si>
  <si>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</si>
  <si>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</si>
  <si>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</si>
  <si>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</si>
  <si>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</si>
  <si>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</si>
  <si>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</si>
  <si>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</si>
  <si>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</si>
  <si>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</si>
  <si>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</si>
  <si>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</si>
  <si>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</si>
  <si>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</si>
  <si>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</si>
  <si>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</si>
  <si>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</si>
  <si>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</si>
  <si>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</si>
  <si>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</si>
  <si>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</si>
  <si>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</si>
  <si>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</si>
  <si>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</si>
  <si>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</si>
  <si>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</si>
  <si>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</si>
  <si>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</si>
  <si>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</si>
  <si>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</si>
  <si>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</si>
  <si>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</si>
  <si>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</si>
  <si>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</si>
  <si>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</si>
  <si>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</si>
  <si>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</si>
  <si>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</si>
  <si>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</si>
  <si>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</si>
  <si>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</si>
  <si>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</si>
  <si>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</si>
  <si>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</si>
  <si>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</si>
  <si>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</si>
  <si>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</si>
  <si>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</si>
  <si>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</si>
  <si>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</si>
  <si>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</si>
  <si>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</si>
  <si>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</si>
  <si>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</si>
  <si>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</si>
  <si>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</si>
  <si>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</si>
  <si>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</si>
  <si>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</si>
  <si>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</si>
  <si>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</si>
  <si>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</si>
  <si>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</si>
  <si>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</si>
  <si>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</si>
  <si>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</si>
  <si>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</si>
  <si>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</si>
  <si>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</si>
  <si>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</si>
  <si>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</si>
  <si>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</si>
  <si>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</si>
  <si>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</si>
  <si>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</si>
  <si>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</si>
  <si>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</si>
  <si>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</si>
  <si>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</si>
  <si>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</si>
  <si>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</si>
  <si>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</si>
  <si>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</si>
  <si>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</si>
  <si>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</si>
  <si>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</si>
  <si>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</si>
  <si>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</si>
  <si>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</si>
  <si>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</si>
  <si>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</si>
  <si>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</si>
  <si>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</si>
  <si>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</si>
  <si>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</si>
  <si>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</si>
  <si>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</si>
  <si>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</si>
  <si>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</si>
  <si>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</si>
  <si>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</si>
  <si>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</si>
  <si>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</si>
  <si>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</si>
  <si>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</si>
  <si>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</si>
  <si>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</si>
  <si>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</si>
  <si>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</si>
  <si>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</si>
  <si>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</si>
  <si>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</si>
  <si>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</si>
  <si>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</si>
  <si>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</si>
  <si>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</si>
  <si>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</si>
  <si>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</si>
  <si>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</si>
  <si>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</si>
  <si>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</si>
  <si>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</si>
  <si>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</si>
  <si>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</si>
  <si>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</si>
  <si>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</si>
  <si>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</si>
  <si>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</si>
  <si>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</si>
  <si>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</si>
  <si>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</si>
  <si>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</si>
  <si>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</si>
  <si>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</si>
  <si>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</si>
  <si>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</si>
  <si>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</si>
  <si>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</si>
  <si>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</si>
  <si>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</si>
  <si>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</si>
  <si>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</si>
  <si>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</si>
  <si>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</si>
  <si>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</si>
  <si>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</si>
  <si>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</si>
  <si>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</si>
  <si>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</si>
  <si>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</si>
  <si>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</si>
  <si>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</si>
  <si>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</si>
  <si>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</si>
  <si>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</si>
  <si>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</si>
  <si>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</si>
  <si>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</si>
  <si>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</si>
  <si>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</si>
  <si>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</si>
  <si>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</si>
  <si>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</si>
  <si>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</si>
  <si>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</si>
  <si>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</si>
  <si>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</si>
  <si>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</si>
  <si>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</si>
  <si>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</si>
  <si>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</si>
  <si>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</si>
  <si>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</si>
  <si>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</si>
  <si>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</si>
  <si>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</si>
  <si>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</si>
  <si>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</si>
  <si>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</si>
  <si>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</si>
  <si>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</si>
  <si>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</si>
  <si>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</si>
  <si>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</si>
  <si>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</si>
  <si>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</si>
  <si>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</si>
  <si>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</si>
  <si>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</si>
  <si>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</si>
  <si>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</si>
  <si>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</si>
  <si>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</si>
  <si>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</si>
  <si>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</si>
  <si>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</si>
  <si>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</si>
  <si>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</si>
  <si>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</si>
  <si>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</si>
  <si>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</si>
  <si>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</si>
  <si>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</si>
  <si>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</si>
  <si>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</si>
  <si>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</si>
  <si>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</si>
  <si>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</si>
  <si>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</si>
  <si>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</si>
  <si>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</si>
  <si>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</si>
  <si>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</si>
  <si>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</si>
  <si>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</si>
  <si>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</si>
  <si>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</si>
  <si>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</si>
  <si>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</si>
  <si>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</si>
  <si>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</si>
  <si>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</si>
  <si>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</si>
  <si>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</si>
  <si>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</si>
  <si>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</si>
  <si>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</si>
  <si>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</si>
  <si>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</si>
  <si>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</si>
  <si>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</si>
  <si>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</si>
  <si>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</si>
  <si>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</si>
  <si>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</si>
  <si>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</si>
  <si>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</si>
  <si>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</si>
  <si>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</si>
  <si>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</si>
  <si>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</si>
  <si>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</si>
  <si>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</si>
  <si>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</si>
  <si>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</si>
  <si>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</si>
  <si>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</si>
  <si>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</si>
  <si>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</si>
  <si>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</si>
  <si>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</si>
  <si>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</si>
  <si>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</si>
  <si>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</si>
  <si>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</si>
  <si>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</si>
  <si>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</si>
  <si>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</si>
  <si>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</si>
  <si>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</si>
  <si>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</si>
  <si>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</si>
  <si>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</si>
  <si>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</si>
  <si>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</si>
  <si>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</si>
  <si>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</si>
  <si>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</si>
  <si>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</si>
  <si>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</si>
  <si>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</si>
  <si>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</si>
  <si>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</si>
  <si>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</si>
  <si>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</si>
  <si>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</si>
  <si>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</si>
  <si>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</si>
  <si>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</si>
  <si>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</si>
  <si>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</si>
  <si>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</si>
  <si>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</si>
  <si>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</si>
  <si>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</si>
  <si>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</si>
  <si>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</si>
  <si>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</si>
  <si>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</si>
  <si>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</si>
  <si>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</si>
  <si>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</si>
  <si>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</si>
  <si>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</si>
  <si>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</si>
  <si>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</si>
  <si>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</si>
  <si>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</si>
  <si>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</si>
  <si>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</si>
  <si>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</si>
  <si>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</si>
  <si>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</si>
  <si>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</si>
  <si>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</si>
  <si>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</si>
  <si>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</si>
  <si>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</si>
  <si>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</si>
  <si>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</si>
  <si>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</si>
  <si>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</si>
  <si>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</si>
  <si>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</si>
  <si>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</si>
  <si>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</si>
  <si>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</si>
  <si>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</si>
  <si>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</si>
  <si>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</si>
  <si>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</si>
  <si>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</si>
  <si>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</si>
  <si>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</si>
  <si>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</si>
  <si>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</si>
  <si>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</si>
  <si>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</si>
  <si>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</si>
  <si>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</si>
  <si>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</si>
  <si>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</si>
  <si>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</si>
  <si>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</si>
  <si>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</si>
  <si>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</si>
  <si>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</si>
  <si>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</si>
  <si>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</si>
  <si>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</si>
  <si>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</si>
  <si>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</si>
  <si>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</si>
  <si>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</si>
  <si>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</si>
  <si>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</si>
  <si>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</si>
  <si>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</si>
  <si>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</si>
  <si>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</si>
  <si>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</si>
  <si>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</si>
  <si>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</si>
  <si>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</si>
  <si>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</si>
  <si>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</si>
  <si>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</si>
  <si>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</si>
  <si>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</si>
  <si>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</si>
  <si>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</si>
  <si>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</si>
  <si>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</si>
  <si>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</si>
  <si>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</si>
  <si>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</si>
  <si>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</si>
  <si>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</si>
  <si>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</si>
  <si>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</si>
  <si>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</si>
  <si>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</si>
  <si>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</si>
  <si>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</si>
  <si>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</si>
  <si>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</si>
  <si>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</si>
  <si>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</si>
  <si>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</si>
  <si>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</si>
  <si>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</si>
  <si>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</si>
  <si>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</si>
  <si>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</si>
  <si>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</si>
  <si>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</si>
  <si>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</si>
  <si>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</si>
  <si>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</si>
  <si>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</si>
  <si>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</si>
  <si>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</si>
  <si>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</si>
  <si>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</si>
  <si>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</si>
  <si>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</si>
  <si>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</si>
  <si>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</si>
  <si>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</si>
  <si>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</si>
  <si>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</si>
  <si>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</si>
  <si>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</si>
  <si>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</si>
  <si>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</si>
  <si>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</si>
  <si>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</si>
  <si>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</si>
  <si>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</si>
  <si>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</si>
  <si>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</si>
  <si>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</si>
  <si>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</si>
  <si>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</si>
  <si>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</si>
  <si>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</si>
  <si>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</si>
  <si>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</si>
  <si>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</si>
  <si>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</si>
  <si>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</si>
  <si>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</si>
  <si>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</si>
  <si>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</si>
  <si>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</si>
  <si>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</si>
  <si>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</si>
  <si>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</si>
  <si>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</si>
  <si>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</si>
  <si>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</si>
  <si>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</si>
  <si>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</si>
  <si>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</si>
  <si>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</si>
  <si>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</si>
  <si>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</si>
  <si>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</si>
  <si>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</si>
  <si>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</si>
  <si>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</si>
  <si>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</si>
  <si>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</si>
  <si>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</si>
  <si>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</si>
  <si>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</si>
  <si>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</si>
  <si>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</si>
  <si>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</si>
  <si>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</si>
  <si>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</si>
  <si>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</si>
  <si>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</si>
  <si>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</si>
  <si>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</si>
  <si>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</si>
  <si>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</si>
  <si>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</si>
  <si>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</si>
  <si>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</si>
  <si>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</si>
  <si>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</si>
  <si>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</si>
  <si>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</si>
  <si>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</si>
  <si>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</si>
  <si>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</si>
  <si>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</si>
  <si>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</si>
  <si>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</si>
  <si>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</si>
  <si>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</si>
  <si>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</si>
  <si>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</si>
  <si>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</si>
  <si>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</si>
  <si>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</si>
  <si>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</si>
  <si>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</si>
  <si>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</si>
  <si>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</si>
  <si>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</si>
  <si>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</si>
  <si>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</si>
  <si>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</si>
  <si>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</si>
  <si>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</si>
  <si>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</si>
  <si>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</si>
  <si>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</si>
  <si>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</si>
  <si>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</si>
  <si>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</si>
  <si>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</si>
  <si>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</si>
  <si>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</si>
  <si>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</si>
  <si>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</si>
  <si>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</si>
  <si>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</si>
  <si>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</si>
  <si>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</si>
  <si>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</si>
  <si>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</si>
  <si>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</si>
  <si>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</si>
  <si>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</si>
  <si>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</si>
  <si>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</si>
  <si>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</si>
  <si>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</si>
  <si>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</si>
  <si>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</si>
  <si>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</si>
  <si>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</si>
  <si>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</si>
  <si>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</si>
  <si>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</si>
  <si>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</si>
  <si>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</si>
  <si>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</si>
  <si>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</si>
  <si>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</si>
  <si>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</si>
  <si>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</si>
  <si>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</si>
  <si>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</si>
  <si>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</si>
  <si>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</si>
  <si>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</si>
  <si>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</si>
  <si>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</si>
  <si>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</si>
  <si>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</si>
  <si>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</si>
  <si>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</si>
  <si>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</si>
  <si>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</si>
  <si>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</si>
  <si>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</si>
  <si>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</si>
  <si>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</si>
  <si>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</si>
  <si>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</si>
  <si>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</si>
  <si>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</si>
  <si>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</si>
  <si>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</si>
  <si>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</si>
  <si>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</si>
  <si>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</si>
  <si>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</si>
  <si>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</si>
  <si>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</si>
  <si>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</si>
  <si>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</si>
  <si>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</si>
  <si>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</si>
  <si>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</si>
  <si>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</si>
  <si>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</si>
  <si>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</si>
  <si>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</si>
  <si>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</si>
  <si>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</si>
  <si>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</si>
  <si>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</si>
  <si>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</si>
  <si>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</si>
  <si>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</si>
  <si>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</si>
  <si>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</si>
  <si>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</si>
  <si>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</si>
  <si>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</si>
  <si>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</si>
  <si>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</si>
  <si>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</si>
  <si>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</si>
  <si>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</si>
  <si>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</si>
  <si>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</si>
  <si>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</si>
  <si>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</si>
  <si>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</si>
  <si>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</si>
  <si>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</si>
  <si>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</si>
  <si>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</si>
  <si>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</si>
  <si>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</si>
  <si>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</si>
  <si>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</si>
  <si>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</si>
  <si>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</si>
  <si>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</si>
  <si>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</si>
  <si>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</si>
  <si>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</si>
  <si>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</si>
  <si>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</si>
  <si>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</si>
  <si>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</si>
  <si>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</si>
  <si>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</si>
  <si>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</si>
  <si>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</si>
  <si>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</si>
  <si>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</si>
  <si>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</si>
  <si>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</si>
  <si>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</si>
  <si>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</si>
  <si>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</si>
  <si>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</si>
  <si>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</si>
  <si>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</si>
  <si>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</si>
  <si>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</si>
  <si>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</si>
  <si>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</si>
  <si>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</si>
  <si>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</si>
  <si>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</si>
  <si>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</si>
  <si>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</si>
  <si>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</si>
  <si>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</si>
  <si>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</si>
  <si>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</si>
  <si>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</si>
  <si>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</si>
  <si>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</si>
  <si>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</si>
  <si>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</si>
  <si>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</si>
  <si>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</si>
  <si>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</si>
  <si>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</si>
  <si>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</si>
  <si>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</si>
  <si>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</si>
  <si>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</si>
  <si>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</si>
  <si>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</si>
  <si>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</si>
  <si>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</si>
  <si>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</si>
  <si>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</si>
  <si>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</si>
  <si>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</si>
  <si>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</si>
  <si>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</si>
  <si>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</si>
  <si>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</si>
  <si>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</si>
  <si>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</si>
  <si>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</si>
  <si>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</si>
  <si>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</si>
  <si>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</si>
  <si>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</si>
  <si>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</si>
  <si>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</si>
  <si>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</si>
  <si>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</si>
  <si>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</si>
  <si>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</si>
  <si>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</si>
  <si>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</si>
  <si>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</si>
  <si>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</si>
  <si>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</si>
  <si>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</si>
  <si>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</si>
  <si>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</si>
  <si>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</si>
  <si>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</si>
  <si>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</si>
  <si>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</si>
  <si>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</si>
  <si>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</si>
  <si>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</si>
  <si>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</si>
  <si>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</si>
  <si>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</si>
  <si>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</si>
  <si>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</si>
  <si>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</si>
  <si>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</si>
  <si>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</si>
  <si>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</si>
  <si>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</si>
  <si>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</si>
  <si>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</si>
  <si>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</si>
  <si>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</si>
  <si>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</si>
  <si>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</si>
  <si>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</si>
  <si>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</si>
  <si>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</si>
  <si>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</si>
  <si>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</si>
  <si>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</si>
  <si>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</si>
  <si>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</si>
  <si>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</si>
  <si>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</si>
  <si>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</si>
  <si>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</si>
  <si>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</si>
  <si>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</si>
  <si>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</si>
  <si>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</si>
  <si>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</si>
  <si>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</si>
  <si>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</si>
  <si>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</si>
  <si>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</si>
  <si>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</si>
  <si>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</si>
  <si>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</si>
  <si>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</si>
  <si>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</si>
  <si>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</si>
  <si>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</si>
  <si>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</si>
  <si>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</si>
  <si>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</si>
  <si>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</si>
  <si>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</si>
  <si>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</si>
  <si>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</si>
  <si>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</si>
  <si>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</si>
  <si>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</si>
  <si>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</si>
  <si>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</si>
  <si>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</si>
  <si>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</si>
  <si>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</si>
  <si>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</si>
  <si>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</si>
  <si>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</si>
  <si>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</si>
  <si>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</si>
  <si>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</si>
  <si>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</si>
  <si>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</si>
  <si>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</si>
  <si>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</si>
  <si>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</si>
  <si>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</si>
  <si>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</si>
  <si>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</si>
  <si>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</si>
  <si>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</si>
  <si>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</si>
  <si>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</si>
  <si>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</si>
  <si>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</si>
  <si>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</si>
  <si>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</si>
  <si>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</si>
  <si>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</si>
  <si>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</si>
  <si>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</si>
  <si>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</si>
  <si>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</si>
  <si>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</si>
  <si>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</si>
  <si>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</si>
  <si>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</si>
  <si>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</si>
  <si>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</si>
  <si>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</si>
  <si>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</si>
  <si>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</si>
  <si>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</si>
  <si>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</si>
  <si>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</si>
  <si>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</si>
  <si>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</si>
  <si>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</si>
  <si>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</si>
  <si>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</si>
  <si>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</si>
  <si>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</si>
  <si>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</si>
  <si>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</si>
  <si>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</si>
  <si>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</si>
  <si>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</si>
  <si>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</si>
  <si>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</si>
  <si>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</si>
  <si>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</si>
  <si>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</si>
  <si>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</si>
  <si>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</si>
  <si>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</si>
  <si>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</si>
  <si>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</si>
  <si>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</si>
  <si>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</si>
  <si>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</si>
  <si>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</si>
  <si>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</si>
  <si>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</si>
  <si>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</si>
  <si>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</si>
  <si>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</si>
  <si>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</si>
  <si>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</si>
  <si>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</si>
  <si>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</si>
  <si>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</si>
  <si>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</si>
  <si>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</si>
  <si>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</si>
  <si>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</si>
  <si>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</si>
  <si>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</si>
  <si>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</si>
  <si>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</si>
  <si>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</si>
  <si>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</si>
  <si>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</si>
  <si>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</si>
  <si>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</si>
  <si>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</si>
  <si>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</si>
  <si>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</si>
  <si>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</si>
  <si>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</si>
  <si>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</si>
  <si>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</si>
  <si>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</si>
  <si>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</si>
  <si>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</si>
  <si>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</si>
  <si>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</si>
  <si>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</si>
  <si>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</si>
  <si>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</si>
  <si>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</si>
  <si>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</si>
  <si>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</si>
  <si>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</si>
  <si>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</si>
  <si>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</si>
  <si>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</si>
  <si>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</si>
  <si>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</si>
  <si>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</si>
  <si>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</si>
  <si>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</si>
  <si>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</si>
  <si>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</si>
  <si>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</si>
  <si>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</si>
  <si>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</si>
  <si>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</si>
  <si>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</si>
  <si>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</si>
  <si>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</si>
  <si>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</si>
  <si>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</si>
  <si>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</si>
  <si>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</si>
  <si>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</si>
  <si>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</si>
  <si>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</si>
  <si>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</si>
  <si>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</si>
  <si>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</si>
  <si>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</si>
  <si>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</si>
  <si>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</si>
  <si>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</si>
  <si>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</si>
  <si>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</si>
  <si>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</si>
  <si>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</si>
  <si>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</si>
  <si>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</si>
  <si>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</si>
  <si>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</si>
  <si>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</si>
  <si>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</si>
  <si>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</si>
  <si>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</si>
  <si>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</si>
  <si>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</si>
  <si>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</si>
  <si>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</si>
  <si>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</si>
  <si>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</si>
  <si>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</si>
  <si>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</si>
  <si>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</si>
  <si>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</si>
  <si>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</si>
  <si>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</si>
  <si>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</si>
  <si>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</si>
  <si>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</si>
  <si>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</si>
  <si>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</si>
  <si>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</si>
  <si>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</si>
  <si>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</si>
  <si>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</si>
  <si>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</si>
  <si>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</si>
  <si>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</si>
  <si>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</si>
  <si>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</si>
  <si>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</si>
  <si>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</si>
  <si>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</si>
  <si>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</si>
  <si>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</si>
  <si>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</si>
  <si>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</si>
  <si>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</si>
  <si>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</si>
  <si>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</si>
  <si>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</si>
  <si>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</si>
  <si>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</si>
  <si>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</si>
  <si>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</si>
  <si>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</si>
  <si>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</si>
  <si>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</si>
  <si>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</si>
  <si>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</si>
  <si>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</si>
  <si>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</si>
  <si>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</si>
  <si>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</si>
  <si>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</si>
  <si>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</si>
  <si>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</si>
  <si>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</si>
  <si>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</si>
  <si>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</si>
  <si>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</si>
  <si>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</si>
  <si>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</si>
  <si>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</si>
  <si>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</si>
  <si>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</si>
  <si>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</si>
  <si>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</si>
  <si>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</si>
  <si>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</si>
  <si>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</si>
  <si>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</si>
  <si>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</si>
  <si>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</si>
  <si>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</si>
  <si>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</si>
  <si>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</si>
  <si>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</si>
  <si>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</si>
  <si>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</si>
  <si>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</si>
  <si>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</si>
  <si>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</si>
  <si>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</si>
  <si>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</si>
  <si>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</si>
  <si>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</si>
  <si>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</si>
  <si>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</si>
  <si>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</si>
  <si>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</si>
  <si>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</si>
  <si>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</si>
  <si>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</si>
  <si>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</si>
  <si>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</si>
  <si>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</si>
  <si>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</si>
  <si>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</si>
  <si>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</si>
  <si>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</si>
  <si>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</si>
  <si>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</si>
  <si>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</si>
  <si>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</si>
  <si>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</si>
  <si>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</si>
  <si>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</si>
  <si>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</si>
  <si>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</si>
  <si>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</si>
  <si>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</si>
  <si>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</si>
  <si>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</si>
  <si>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</si>
  <si>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</si>
  <si>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</si>
  <si>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</si>
  <si>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</si>
  <si>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</si>
  <si>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</si>
  <si>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</si>
  <si>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</si>
  <si>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</si>
  <si>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</si>
  <si>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</si>
  <si>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</si>
  <si>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</si>
  <si>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</si>
  <si>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</si>
  <si>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</si>
  <si>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</si>
  <si>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</si>
  <si>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</si>
  <si>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</si>
  <si>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</si>
  <si>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</si>
  <si>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</si>
  <si>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</si>
  <si>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</si>
  <si>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</si>
  <si>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</si>
  <si>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</si>
  <si>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</si>
  <si>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</si>
  <si>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</si>
  <si>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</si>
  <si>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</si>
  <si>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</si>
  <si>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</si>
  <si>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</si>
  <si>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</si>
  <si>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</si>
  <si>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</si>
  <si>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</si>
  <si>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</si>
  <si>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</si>
  <si>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</si>
  <si>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</si>
  <si>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</si>
  <si>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</si>
  <si>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</si>
  <si>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</si>
  <si>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</si>
  <si>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</si>
  <si>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</si>
  <si>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</si>
  <si>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</si>
  <si>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</si>
  <si>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</si>
  <si>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</si>
  <si>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</si>
  <si>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</si>
  <si>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</si>
  <si>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</si>
  <si>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</si>
  <si>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</si>
  <si>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</si>
  <si>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</si>
  <si>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</si>
  <si>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</si>
  <si>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</si>
  <si>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</si>
  <si>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</si>
  <si>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</si>
  <si>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</si>
  <si>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</si>
  <si>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</si>
  <si>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</si>
  <si>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</si>
  <si>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</si>
  <si>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</si>
  <si>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</si>
  <si>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</si>
  <si>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</si>
  <si>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</si>
  <si>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</si>
  <si>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</si>
  <si>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</si>
  <si>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</si>
  <si>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</si>
  <si>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</si>
  <si>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</si>
  <si>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</si>
  <si>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</si>
  <si>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</si>
  <si>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</si>
  <si>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</si>
  <si>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</si>
  <si>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</si>
  <si>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</si>
  <si>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</si>
  <si>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</si>
  <si>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</si>
  <si>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</si>
  <si>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</si>
  <si>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</si>
  <si>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</si>
  <si>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</si>
  <si>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</si>
  <si>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</si>
  <si>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</si>
  <si>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</si>
  <si>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</si>
  <si>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</si>
  <si>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</si>
  <si>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</si>
  <si>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</si>
  <si>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</si>
  <si>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</si>
  <si>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</si>
  <si>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</si>
  <si>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</si>
  <si>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</si>
  <si>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</si>
  <si>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</si>
  <si>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</si>
  <si>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</si>
  <si>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</si>
  <si>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</si>
  <si>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</si>
  <si>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</si>
  <si>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</si>
  <si>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</si>
  <si>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</si>
  <si>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</si>
  <si>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</si>
  <si>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</si>
  <si>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</si>
  <si>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</si>
  <si>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</si>
  <si>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</si>
  <si>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</si>
  <si>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</si>
  <si>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</si>
  <si>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</si>
  <si>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</si>
  <si>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</si>
  <si>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</si>
  <si>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</si>
  <si>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</si>
  <si>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</si>
  <si>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</si>
  <si>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</si>
  <si>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</si>
  <si>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</si>
  <si>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</si>
  <si>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</si>
  <si>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</si>
  <si>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</si>
  <si>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</si>
  <si>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</si>
  <si>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</si>
  <si>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</si>
  <si>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</si>
  <si>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</si>
  <si>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</si>
  <si>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</si>
  <si>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</si>
  <si>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</si>
  <si>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</si>
  <si>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</si>
  <si>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</si>
  <si>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</si>
  <si>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</si>
  <si>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</si>
  <si>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</si>
  <si>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</si>
  <si>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</si>
  <si>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</si>
  <si>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</si>
  <si>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</si>
  <si>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</si>
  <si>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</si>
  <si>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</si>
  <si>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</si>
  <si>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</si>
  <si>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</si>
  <si>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</si>
  <si>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</si>
  <si>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</si>
  <si>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</si>
  <si>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</si>
  <si>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</si>
  <si>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</si>
  <si>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</si>
  <si>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</si>
  <si>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</si>
  <si>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</si>
  <si>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</si>
  <si>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</si>
  <si>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</si>
  <si>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</si>
  <si>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</si>
  <si>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</si>
  <si>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</si>
  <si>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</si>
  <si>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</si>
  <si>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</si>
  <si>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</si>
  <si>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</si>
  <si>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</si>
  <si>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</si>
  <si>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</si>
  <si>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</si>
  <si>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</si>
  <si>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</si>
  <si>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</si>
  <si>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</si>
  <si>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</si>
  <si>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</si>
  <si>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</si>
  <si>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</si>
  <si>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</si>
  <si>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</si>
  <si>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</si>
  <si>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</si>
  <si>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</si>
  <si>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</si>
  <si>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</si>
  <si>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</si>
  <si>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</si>
  <si>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</si>
  <si>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</si>
  <si>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</si>
  <si>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</si>
  <si>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</si>
  <si>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</si>
  <si>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</si>
  <si>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</si>
  <si>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</si>
  <si>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</si>
  <si>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</si>
  <si>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</si>
  <si>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</si>
  <si>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</si>
  <si>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</si>
  <si>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</si>
  <si>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</si>
  <si>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</si>
  <si>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</si>
  <si>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</si>
  <si>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</si>
  <si>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</si>
  <si>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</si>
  <si>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</si>
  <si>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</si>
  <si>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</si>
  <si>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</si>
  <si>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</si>
  <si>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</si>
  <si>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</si>
  <si>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</si>
  <si>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</si>
  <si>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</si>
  <si>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</si>
  <si>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</si>
  <si>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</si>
  <si>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</si>
  <si>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</si>
  <si>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</si>
  <si>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</si>
  <si>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</si>
  <si>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</si>
  <si>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</si>
  <si>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</si>
  <si>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</si>
  <si>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</si>
  <si>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</si>
  <si>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</si>
  <si>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</si>
  <si>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</si>
  <si>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</si>
  <si>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</si>
  <si>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</si>
  <si>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</si>
  <si>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</si>
  <si>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</si>
  <si>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</si>
  <si>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</si>
  <si>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</si>
  <si>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</si>
  <si>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</si>
  <si>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</si>
  <si>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</si>
  <si>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</si>
  <si>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</si>
  <si>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</si>
  <si>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</si>
  <si>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</si>
  <si>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</si>
  <si>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</si>
  <si>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</si>
  <si>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</si>
  <si>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</si>
  <si>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</si>
  <si>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</si>
  <si>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</si>
  <si>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</si>
  <si>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</si>
  <si>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</si>
  <si>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</si>
  <si>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</si>
  <si>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</si>
  <si>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</si>
  <si>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</si>
  <si>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</si>
  <si>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</si>
  <si>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</si>
  <si>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</si>
  <si>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</si>
  <si>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</si>
  <si>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</si>
  <si>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</si>
  <si>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</si>
  <si>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</si>
  <si>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</si>
  <si>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</si>
  <si>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</si>
  <si>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</si>
  <si>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</si>
  <si>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</si>
  <si>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</si>
  <si>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</si>
  <si>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</si>
  <si>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</si>
  <si>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</si>
  <si>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</si>
  <si>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</si>
  <si>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</si>
  <si>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</si>
  <si>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</si>
  <si>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</si>
  <si>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</si>
  <si>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</si>
  <si>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</si>
  <si>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</si>
  <si>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</si>
  <si>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</si>
  <si>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</si>
  <si>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</si>
  <si>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</si>
  <si>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</si>
  <si>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</si>
  <si>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</si>
  <si>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</si>
  <si>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</si>
  <si>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</si>
  <si>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</si>
  <si>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</si>
  <si>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</si>
  <si>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</si>
  <si>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</si>
  <si>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</si>
  <si>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</si>
  <si>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</si>
  <si>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</si>
  <si>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</si>
  <si>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</si>
  <si>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</si>
  <si>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</si>
  <si>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</si>
  <si>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</si>
  <si>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</si>
  <si>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</si>
  <si>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</si>
  <si>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</si>
  <si>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</si>
  <si>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</si>
  <si>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</si>
  <si>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</si>
  <si>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</si>
  <si>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</si>
  <si>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</si>
  <si>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</si>
  <si>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</si>
  <si>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</si>
  <si>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</si>
  <si>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</si>
  <si>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</si>
  <si>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</si>
  <si>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</si>
  <si>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</si>
  <si>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</si>
  <si>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</si>
  <si>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</si>
  <si>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</si>
  <si>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</si>
  <si>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</si>
  <si>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</si>
  <si>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</si>
  <si>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</si>
  <si>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</si>
  <si>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</si>
  <si>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</si>
  <si>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</si>
  <si>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</si>
  <si>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</si>
  <si>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</si>
  <si>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</si>
  <si>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</si>
  <si>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</si>
  <si>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</si>
  <si>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</si>
  <si>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</si>
  <si>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</si>
  <si>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</si>
  <si>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</si>
  <si>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</si>
  <si>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</si>
  <si>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</si>
  <si>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</si>
  <si>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</si>
  <si>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</si>
  <si>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</si>
  <si>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</si>
  <si>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</si>
  <si>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</si>
  <si>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</si>
  <si>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</si>
  <si>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</si>
  <si>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</si>
  <si>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</si>
  <si>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</si>
  <si>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</si>
  <si>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</si>
  <si>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</si>
  <si>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</si>
  <si>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</si>
  <si>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</si>
  <si>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</si>
  <si>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</si>
  <si>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</si>
  <si>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</si>
  <si>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</si>
  <si>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</si>
  <si>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</si>
  <si>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</si>
  <si>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</si>
  <si>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</si>
  <si>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</si>
  <si>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</si>
  <si>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</si>
  <si>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</si>
  <si>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</si>
  <si>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</si>
  <si>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</si>
  <si>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</si>
  <si>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</si>
  <si>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</si>
  <si>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</si>
  <si>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</si>
  <si>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</si>
  <si>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</si>
  <si>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</si>
  <si>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</si>
  <si>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</si>
  <si>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</si>
  <si>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</si>
  <si>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</si>
  <si>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</si>
  <si>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</si>
  <si>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</si>
  <si>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</si>
  <si>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</si>
  <si>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</si>
  <si>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</si>
  <si>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</si>
  <si>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</si>
  <si>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</si>
  <si>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</si>
  <si>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</si>
  <si>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</si>
  <si>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</si>
  <si>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</si>
  <si>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</si>
  <si>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</si>
  <si>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</si>
  <si>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</si>
  <si>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</si>
  <si>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</si>
  <si>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</si>
  <si>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</si>
  <si>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</si>
  <si>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</si>
  <si>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</si>
  <si>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</si>
  <si>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</si>
  <si>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</si>
  <si>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</si>
  <si>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</si>
  <si>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</si>
  <si>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</si>
  <si>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</si>
  <si>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</si>
  <si>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</si>
  <si>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</si>
  <si>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</si>
  <si>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</si>
  <si>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</si>
  <si>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</si>
  <si>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</si>
  <si>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</si>
  <si>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</si>
  <si>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</si>
  <si>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</si>
  <si>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</si>
  <si>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</si>
  <si>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</si>
  <si>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</si>
  <si>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</si>
  <si>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22/12/1397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</si>
  <si>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</si>
  <si>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</si>
  <si>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</si>
  <si>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</si>
  <si>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</si>
  <si>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</si>
  <si>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</si>
  <si>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</si>
  <si>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</si>
  <si>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</si>
  <si>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</si>
  <si>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</si>
  <si>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</si>
  <si>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</si>
  <si>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</si>
  <si>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</si>
  <si>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</si>
  <si>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</si>
  <si>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</si>
  <si>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</si>
  <si>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</si>
  <si>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</si>
  <si>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</si>
  <si>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</si>
  <si>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</si>
  <si>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</si>
  <si>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</si>
  <si>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</si>
  <si>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</si>
  <si>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</si>
  <si>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</si>
  <si>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</si>
  <si>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</si>
  <si>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</si>
  <si>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</si>
  <si>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</si>
  <si>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</si>
  <si>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</si>
  <si>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</si>
  <si>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</si>
  <si>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</si>
  <si>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</si>
  <si>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</si>
  <si>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</si>
  <si>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</si>
  <si>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</si>
  <si>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</si>
  <si>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</si>
  <si>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</si>
  <si>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</si>
  <si>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</si>
  <si>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</si>
  <si>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</si>
  <si>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</si>
  <si>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</si>
  <si>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</si>
  <si>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</si>
  <si>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</si>
  <si>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</si>
  <si>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</si>
  <si>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</si>
  <si>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</si>
  <si>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</si>
  <si>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</si>
  <si>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</si>
  <si>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</si>
  <si>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</si>
  <si>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</si>
  <si>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</si>
  <si>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</si>
  <si>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</si>
  <si>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</si>
  <si>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</si>
  <si>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</si>
  <si>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</si>
  <si>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</si>
  <si>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</si>
  <si>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</si>
  <si>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</si>
  <si>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</si>
  <si>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</si>
  <si>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</si>
  <si>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</si>
  <si>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</si>
  <si>
    <t>19/1/1398</t>
  </si>
  <si>
    <t>شخارک 120 تا 4429.2</t>
  </si>
  <si>
    <t>شخارک 119 تا 4429.2</t>
  </si>
  <si>
    <t>ریشمک 50 تا 1204.7</t>
  </si>
  <si>
    <t>شخارک 374 تا 4429.1</t>
  </si>
  <si>
    <t>20/1/1398</t>
  </si>
  <si>
    <t>21/1/1398</t>
  </si>
  <si>
    <t>پاسپورت ایلیا</t>
  </si>
  <si>
    <t>خرید از کارت مسکن مریم 20/1/98</t>
  </si>
  <si>
    <t>24/1/1398</t>
  </si>
  <si>
    <t>از کارت مسکن مریم 24/1/98</t>
  </si>
  <si>
    <t>به انصار مریم 24/1/98</t>
  </si>
  <si>
    <t>شخارک 564 تا 4450</t>
  </si>
  <si>
    <t>واریز 2520000 حساب علی</t>
  </si>
  <si>
    <t>واریز 1 میلیون حساب علی</t>
  </si>
  <si>
    <t>25/1/1398</t>
  </si>
  <si>
    <t>شاراک 259 تا 633</t>
  </si>
  <si>
    <t>شاراک 265 تا 632.5</t>
  </si>
  <si>
    <t>شاراک 255 تا 632.8</t>
  </si>
  <si>
    <t>26/1/1398</t>
  </si>
  <si>
    <t>11/3/1398</t>
  </si>
  <si>
    <t>11/2/1398</t>
  </si>
  <si>
    <t>27/1/1398</t>
  </si>
  <si>
    <t>28/1/1398</t>
  </si>
  <si>
    <t>261307622 </t>
  </si>
  <si>
    <t>31/1/1398</t>
  </si>
  <si>
    <t>2/2/1398</t>
  </si>
  <si>
    <t>واریز مریم 3/2/98 طلا گرمی 438200</t>
  </si>
  <si>
    <t>4/2/1398</t>
  </si>
  <si>
    <t>3/2/1398</t>
  </si>
  <si>
    <t>از کارت ملت مریم گرفتم 2/2/98</t>
  </si>
  <si>
    <t>وخارزم</t>
  </si>
  <si>
    <t>P/Nav</t>
  </si>
  <si>
    <t>تقسیم سود</t>
  </si>
  <si>
    <t>ضعیف</t>
  </si>
  <si>
    <t xml:space="preserve">بخش عمده ای از پرتفو سهام غیر بورسی است </t>
  </si>
  <si>
    <t>اعتلا</t>
  </si>
  <si>
    <t>خوب</t>
  </si>
  <si>
    <t>پرتفو متنوع و پر از پتروشیمی</t>
  </si>
  <si>
    <t>سدبیر</t>
  </si>
  <si>
    <t>بد</t>
  </si>
  <si>
    <t>گران</t>
  </si>
  <si>
    <t>سرچشمه</t>
  </si>
  <si>
    <t>عمده پرتفو غیر بورسی</t>
  </si>
  <si>
    <t>واتی</t>
  </si>
  <si>
    <t xml:space="preserve">واعتبار </t>
  </si>
  <si>
    <t>چند سهم خودرویی در پرتفو</t>
  </si>
  <si>
    <t>وبوعلی</t>
  </si>
  <si>
    <t>وبیمه</t>
  </si>
  <si>
    <t>5/2/1398</t>
  </si>
  <si>
    <t>بدهی علی به صندوق</t>
  </si>
  <si>
    <t>زیر مجموعه</t>
  </si>
  <si>
    <t>تعداد سهام</t>
  </si>
  <si>
    <t>سود هر سهم</t>
  </si>
  <si>
    <t>سود هر سهم وغدیر</t>
  </si>
  <si>
    <t>پتروشیمی پارس</t>
  </si>
  <si>
    <t>تعداد سهام وغدیر</t>
  </si>
  <si>
    <t>سنگ آهن گهر زمين</t>
  </si>
  <si>
    <t>تنوین</t>
  </si>
  <si>
    <t>شبندر</t>
  </si>
  <si>
    <t>تعداد سهام پارسان وغدیر</t>
  </si>
  <si>
    <t>تعداد کل سهام پارسان</t>
  </si>
  <si>
    <t>شراز</t>
  </si>
  <si>
    <t>سهم انباشته وغدیر</t>
  </si>
  <si>
    <t>سود انباشته</t>
  </si>
  <si>
    <t>شپدیس</t>
  </si>
  <si>
    <t>شیراز</t>
  </si>
  <si>
    <t>شبریز</t>
  </si>
  <si>
    <t>کرمانشا</t>
  </si>
  <si>
    <t>خراسان</t>
  </si>
  <si>
    <t>به مریم دستی دادم تولد مها 5/2/1398</t>
  </si>
  <si>
    <t>از ملت مریم به ملت علی 7/2/98</t>
  </si>
  <si>
    <t>7/2/1398</t>
  </si>
  <si>
    <t>وغدیر 7182 تا 194</t>
  </si>
  <si>
    <t>8/2/1398</t>
  </si>
  <si>
    <t>واریز 1.4 میلیون حساب علی</t>
  </si>
  <si>
    <t>9/2/1398</t>
  </si>
  <si>
    <t>واریز 1.55 حساب علی و 1.55 حساب مریم</t>
  </si>
  <si>
    <t>10/2/1398</t>
  </si>
  <si>
    <t>پارس 116 تا 4005.4</t>
  </si>
  <si>
    <t>پارس 116 تا 4005.5</t>
  </si>
  <si>
    <t>از حاجی 2 میلیون گفتم و 535 قسط انصار مریم دادم 10/2/98</t>
  </si>
  <si>
    <t>حاجی 2 میلیون را پس داد 322.213</t>
  </si>
  <si>
    <t>پارس 61 تا 4087.6</t>
  </si>
  <si>
    <t>واریز 250000 حساب علی</t>
  </si>
  <si>
    <t>14/2/1398</t>
  </si>
  <si>
    <t>وغدیر 5488 تا 218.5</t>
  </si>
  <si>
    <t>وغدیر 5468 تا 218.5</t>
  </si>
  <si>
    <t>وغدیر 5485 تا 218.5</t>
  </si>
  <si>
    <t>17/2/1398</t>
  </si>
  <si>
    <t>15/2/1398</t>
  </si>
  <si>
    <t>پارس 391 تا 4079.8</t>
  </si>
  <si>
    <t>سود زاگرس</t>
  </si>
  <si>
    <t xml:space="preserve">بدهی سارا به صندوق </t>
  </si>
  <si>
    <t>بدهی به مهدی 17/2/1398</t>
  </si>
  <si>
    <t>مبلغ 50 مییون به حساب مریم و 48.527480 سود زاگرس علی و 2.668880 سود زاگرس مریم</t>
  </si>
  <si>
    <t>وغدیر 75812 تا 197.1</t>
  </si>
  <si>
    <t>پارس 9164 تا 3800.4</t>
  </si>
  <si>
    <t>18/2/1398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</si>
</sst>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  <font>
      <sz val="11"/>
      <color rgb="FF1D222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0" fillId="32" borderId="1" xfId="0" applyFill="1" applyBorder="1" applyAlignment="1">
      <alignment vertical="center"/>
    </xf>
    <xf numFmtId="0" fontId="15" fillId="0" borderId="0" xfId="0" applyFont="1"/>
    <xf numFmtId="164" fontId="0" fillId="5" borderId="1" xfId="0" applyNumberFormat="1" applyFill="1" applyBorder="1"/>
    <xf numFmtId="0" fontId="0" fillId="26" borderId="1" xfId="0" applyFill="1" applyBorder="1" applyAlignment="1">
      <alignment horizontal="center" wrapText="1"/>
    </xf>
    <xf numFmtId="164" fontId="0" fillId="26" borderId="1" xfId="0" applyNumberFormat="1" applyFill="1" applyBorder="1" applyAlignment="1">
      <alignment horizontal="center"/>
    </xf>
    <xf numFmtId="164" fontId="0" fillId="26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opLeftCell="E88" zoomScale="90" zoomScaleNormal="90" workbookViewId="0">
      <selection activeCell="K117" sqref="K117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32.5703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9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4644</v>
      </c>
      <c r="AE1" s="168" t="s">
        <v>4645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4634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4628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4634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4634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4637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4634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4637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4637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4963</v>
      </c>
      <c r="F12" s="114">
        <v>0</v>
      </c>
      <c r="J12" s="168">
        <v>11</v>
      </c>
      <c r="K12" s="168" t="s">
        <v>4664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4637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4664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4653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4680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4653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4680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4670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4684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4684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4684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4684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4718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4705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4718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4705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4733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4712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4733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4718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4734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4721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4727</v>
      </c>
      <c r="C23" s="99" t="s">
        <v>4728</v>
      </c>
      <c r="D23" s="99" t="s">
        <v>4729</v>
      </c>
      <c r="E23" s="69" t="s">
        <v>4730</v>
      </c>
      <c r="J23" s="215">
        <v>22</v>
      </c>
      <c r="K23" s="215" t="s">
        <v>4734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4721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4670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4734</v>
      </c>
      <c r="L24" s="222">
        <v>4388600</v>
      </c>
      <c r="M24" s="221">
        <v>5</v>
      </c>
      <c r="N24" s="222">
        <f t="shared" si="7"/>
        <v>21943000</v>
      </c>
      <c r="O24" s="223" t="s">
        <v>4749</v>
      </c>
      <c r="W24" s="215" t="s">
        <v>4734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4680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4737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4737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4684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4737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4748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4705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4748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4718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4748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4761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4721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4761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4725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4761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4731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4761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4761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4733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4761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4771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4773</v>
      </c>
    </row>
    <row r="33" spans="1:32">
      <c r="A33" s="99" t="s">
        <v>4734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4787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4771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4737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4787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4771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4748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4789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4789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4789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4789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4761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4963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4789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4771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4963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4799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4780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4799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4787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4799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4789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4820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4799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4836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4808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4841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4820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4852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4854</v>
      </c>
    </row>
    <row r="45" spans="1:32">
      <c r="A45" s="99" t="s">
        <v>4831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4852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4836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4880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4840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4841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4852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4856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4880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4883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4886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4894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4901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4909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4920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4963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4965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4979</v>
      </c>
      <c r="B61" s="95">
        <v>4850000</v>
      </c>
      <c r="C61" s="95">
        <v>4950000</v>
      </c>
      <c r="D61" s="95">
        <v>13750</v>
      </c>
      <c r="E61" s="95">
        <v>13900</v>
      </c>
      <c r="AA61" s="96"/>
      <c r="AB61" s="96"/>
      <c r="AC61" s="96"/>
      <c r="AD61" s="96"/>
    </row>
    <row r="62" spans="1:32">
      <c r="A62" s="99" t="s">
        <v>5004</v>
      </c>
      <c r="B62" s="95">
        <v>4680000</v>
      </c>
      <c r="C62" s="95">
        <v>4780000</v>
      </c>
      <c r="D62" s="95">
        <v>13500</v>
      </c>
      <c r="E62" s="95">
        <v>13650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4802</v>
      </c>
      <c r="K63" s="215" t="s">
        <v>180</v>
      </c>
      <c r="L63" s="228" t="s">
        <v>4800</v>
      </c>
      <c r="M63" s="228" t="s">
        <v>4801</v>
      </c>
      <c r="N63" s="215" t="s">
        <v>6</v>
      </c>
      <c r="O63" s="215" t="s">
        <v>4803</v>
      </c>
      <c r="P63" s="215" t="s">
        <v>4822</v>
      </c>
      <c r="W63" s="96"/>
      <c r="X63" s="96"/>
      <c r="Y63" s="96"/>
      <c r="Z63" s="96" t="s">
        <v>4658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4734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4659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4771</v>
      </c>
      <c r="L65" s="84">
        <v>548929344</v>
      </c>
      <c r="M65" s="84"/>
      <c r="N65" s="215"/>
      <c r="O65" s="215"/>
      <c r="P65" s="215"/>
      <c r="W65" s="96"/>
      <c r="X65" s="22" t="s">
        <v>4662</v>
      </c>
      <c r="Y65" s="22" t="s">
        <v>4661</v>
      </c>
      <c r="Z65" s="22" t="s">
        <v>4660</v>
      </c>
      <c r="AA65" s="22" t="s">
        <v>4663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4780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4787</v>
      </c>
      <c r="L67" s="84">
        <v>577849094</v>
      </c>
      <c r="M67" s="84"/>
      <c r="N67" s="215"/>
      <c r="O67" s="215"/>
      <c r="P67" s="215"/>
    </row>
    <row r="68" spans="1:27">
      <c r="D68" s="114">
        <f>B62-B28+L19</f>
        <v>4991628</v>
      </c>
      <c r="I68" s="215"/>
      <c r="J68" s="113">
        <f t="shared" si="12"/>
        <v>11024486</v>
      </c>
      <c r="K68" s="215" t="s">
        <v>4789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4799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4819</v>
      </c>
      <c r="J70" s="35">
        <f t="shared" si="12"/>
        <v>45893629</v>
      </c>
      <c r="K70" s="5" t="s">
        <v>4808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4820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4836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4840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4841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4852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4856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4880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4883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4908</v>
      </c>
      <c r="J80" s="35">
        <f t="shared" si="12"/>
        <v>-1984018</v>
      </c>
      <c r="K80" s="5" t="s">
        <v>4886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4894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4907</v>
      </c>
      <c r="J82" s="86">
        <f t="shared" si="12"/>
        <v>8860702</v>
      </c>
      <c r="K82" s="192" t="s">
        <v>4901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30">
      <c r="I83" s="241" t="s">
        <v>4918</v>
      </c>
      <c r="J83" s="86">
        <f>L83-L82+31412200</f>
        <v>20439704</v>
      </c>
      <c r="K83" s="192" t="s">
        <v>4909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4919</v>
      </c>
      <c r="J84" s="189">
        <f t="shared" si="12"/>
        <v>21224293</v>
      </c>
      <c r="K84" s="190" t="s">
        <v>4920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4933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>
      <c r="I87" s="243" t="s">
        <v>4947</v>
      </c>
      <c r="J87" s="197">
        <f>L87-L86-20000</f>
        <v>7878257</v>
      </c>
      <c r="K87" s="191" t="s">
        <v>4934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4949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4950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191" t="s">
        <v>4993</v>
      </c>
      <c r="J90" s="197">
        <f>L90-L89-1000000</f>
        <v>3840350</v>
      </c>
      <c r="K90" s="191" t="s">
        <v>4963</v>
      </c>
      <c r="L90" s="244">
        <v>685475489</v>
      </c>
      <c r="M90" s="244">
        <v>312030960</v>
      </c>
      <c r="N90" s="197">
        <f t="shared" si="13"/>
        <v>997506449</v>
      </c>
      <c r="O90" s="197">
        <f t="shared" ref="O90:O126" si="16">M90-M89</f>
        <v>-974915</v>
      </c>
      <c r="P90" s="197">
        <f>N90-N89-1000000</f>
        <v>2865435</v>
      </c>
    </row>
    <row r="91" spans="6:16">
      <c r="I91" s="215"/>
      <c r="J91" s="113">
        <f t="shared" ref="J91:J126" si="17">L91-L90</f>
        <v>-12127865</v>
      </c>
      <c r="K91" s="215" t="s">
        <v>4965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6"/>
        <v>-3210175</v>
      </c>
      <c r="P91" s="113">
        <f t="shared" ref="P91:P126" si="18">N91-N90</f>
        <v>-15338040</v>
      </c>
    </row>
    <row r="92" spans="6:16">
      <c r="I92" s="215"/>
      <c r="J92" s="113">
        <f t="shared" si="17"/>
        <v>11765514</v>
      </c>
      <c r="K92" s="215" t="s">
        <v>4979</v>
      </c>
      <c r="L92" s="84">
        <v>685113138</v>
      </c>
      <c r="M92" s="84">
        <v>311743933</v>
      </c>
      <c r="N92" s="113">
        <f t="shared" ref="N92:N97" si="19">L92+M92</f>
        <v>996857071</v>
      </c>
      <c r="O92" s="113">
        <f t="shared" ref="O92:O97" si="20">M92-M91</f>
        <v>2923148</v>
      </c>
      <c r="P92" s="113">
        <f t="shared" ref="P92:P97" si="21">N92-N91</f>
        <v>14688662</v>
      </c>
    </row>
    <row r="93" spans="6:16">
      <c r="I93" s="215"/>
      <c r="J93" s="113">
        <f t="shared" si="17"/>
        <v>2886862</v>
      </c>
      <c r="K93" s="215" t="s">
        <v>4984</v>
      </c>
      <c r="L93" s="84">
        <v>688000000</v>
      </c>
      <c r="M93" s="84">
        <v>312500000</v>
      </c>
      <c r="N93" s="113">
        <f t="shared" si="19"/>
        <v>1000500000</v>
      </c>
      <c r="O93" s="113">
        <f t="shared" si="20"/>
        <v>756067</v>
      </c>
      <c r="P93" s="113">
        <f t="shared" si="21"/>
        <v>3642929</v>
      </c>
    </row>
    <row r="94" spans="6:16">
      <c r="I94" s="215"/>
      <c r="J94" s="113">
        <f t="shared" si="17"/>
        <v>10450869</v>
      </c>
      <c r="K94" s="215" t="s">
        <v>4985</v>
      </c>
      <c r="L94" s="84">
        <v>698450869</v>
      </c>
      <c r="M94" s="84">
        <v>316326929</v>
      </c>
      <c r="N94" s="113">
        <f t="shared" si="19"/>
        <v>1014777798</v>
      </c>
      <c r="O94" s="113">
        <f t="shared" si="20"/>
        <v>3826929</v>
      </c>
      <c r="P94" s="113">
        <f t="shared" si="21"/>
        <v>14277798</v>
      </c>
    </row>
    <row r="95" spans="6:16">
      <c r="I95" s="191" t="s">
        <v>4992</v>
      </c>
      <c r="J95" s="197">
        <f>L95-L94-2520000</f>
        <v>-274657</v>
      </c>
      <c r="K95" s="191" t="s">
        <v>4988</v>
      </c>
      <c r="L95" s="244">
        <v>700696212</v>
      </c>
      <c r="M95" s="244">
        <v>314277518</v>
      </c>
      <c r="N95" s="197">
        <f t="shared" si="19"/>
        <v>1014973730</v>
      </c>
      <c r="O95" s="197">
        <f t="shared" si="20"/>
        <v>-2049411</v>
      </c>
      <c r="P95" s="197">
        <f>N95-N94-2520000</f>
        <v>-2324068</v>
      </c>
    </row>
    <row r="96" spans="6:16">
      <c r="I96" s="215"/>
      <c r="J96" s="113">
        <f t="shared" si="17"/>
        <v>3959605</v>
      </c>
      <c r="K96" s="215" t="s">
        <v>4994</v>
      </c>
      <c r="L96" s="84">
        <v>704655817</v>
      </c>
      <c r="M96" s="84">
        <v>315439070</v>
      </c>
      <c r="N96" s="113">
        <f t="shared" si="19"/>
        <v>1020094887</v>
      </c>
      <c r="O96" s="113">
        <f t="shared" si="20"/>
        <v>1161552</v>
      </c>
      <c r="P96" s="113">
        <f t="shared" si="21"/>
        <v>5121157</v>
      </c>
    </row>
    <row r="97" spans="9:20">
      <c r="I97" s="215"/>
      <c r="J97" s="113">
        <f t="shared" si="17"/>
        <v>4588822</v>
      </c>
      <c r="K97" s="215" t="s">
        <v>4998</v>
      </c>
      <c r="L97" s="84">
        <v>709244639</v>
      </c>
      <c r="M97" s="84">
        <v>318439707</v>
      </c>
      <c r="N97" s="113">
        <f t="shared" si="19"/>
        <v>1027684346</v>
      </c>
      <c r="O97" s="113">
        <f t="shared" si="20"/>
        <v>3000637</v>
      </c>
      <c r="P97" s="113">
        <f t="shared" si="21"/>
        <v>7589459</v>
      </c>
      <c r="Q97" t="s">
        <v>25</v>
      </c>
    </row>
    <row r="98" spans="9:20">
      <c r="I98" s="215"/>
      <c r="J98" s="113">
        <f t="shared" si="17"/>
        <v>-11230604</v>
      </c>
      <c r="K98" s="215" t="s">
        <v>5001</v>
      </c>
      <c r="L98" s="84">
        <v>698014035</v>
      </c>
      <c r="M98" s="84">
        <v>314823372</v>
      </c>
      <c r="N98" s="113">
        <f t="shared" ref="N98:N125" si="22">L98+M98</f>
        <v>1012837407</v>
      </c>
      <c r="O98" s="113">
        <f t="shared" ref="O98:O109" si="23">M98-M97</f>
        <v>-3616335</v>
      </c>
      <c r="P98" s="113">
        <f t="shared" ref="P98:P109" si="24">N98-N97</f>
        <v>-14846939</v>
      </c>
    </row>
    <row r="99" spans="9:20">
      <c r="I99" s="215"/>
      <c r="J99" s="113">
        <f t="shared" si="17"/>
        <v>6285999</v>
      </c>
      <c r="K99" s="215" t="s">
        <v>5002</v>
      </c>
      <c r="L99" s="84">
        <v>704300034</v>
      </c>
      <c r="M99" s="84">
        <v>315795916</v>
      </c>
      <c r="N99" s="113">
        <f t="shared" si="22"/>
        <v>1020095950</v>
      </c>
      <c r="O99" s="113">
        <f t="shared" si="23"/>
        <v>972544</v>
      </c>
      <c r="P99" s="113">
        <f t="shared" si="24"/>
        <v>7258543</v>
      </c>
    </row>
    <row r="100" spans="9:20">
      <c r="I100" s="215"/>
      <c r="J100" s="113">
        <f t="shared" si="17"/>
        <v>17278812</v>
      </c>
      <c r="K100" s="215" t="s">
        <v>5004</v>
      </c>
      <c r="L100" s="84">
        <v>721578846</v>
      </c>
      <c r="M100" s="84">
        <v>322263065</v>
      </c>
      <c r="N100" s="113">
        <f t="shared" si="22"/>
        <v>1043841911</v>
      </c>
      <c r="O100" s="113">
        <f t="shared" si="23"/>
        <v>6467149</v>
      </c>
      <c r="P100" s="113">
        <f t="shared" si="24"/>
        <v>23745961</v>
      </c>
    </row>
    <row r="101" spans="9:20">
      <c r="I101" s="215"/>
      <c r="J101" s="113">
        <f t="shared" si="17"/>
        <v>287745</v>
      </c>
      <c r="K101" s="215" t="s">
        <v>5005</v>
      </c>
      <c r="L101" s="84">
        <v>721866591</v>
      </c>
      <c r="M101" s="84">
        <v>321203407</v>
      </c>
      <c r="N101" s="113">
        <f t="shared" si="22"/>
        <v>1043069998</v>
      </c>
      <c r="O101" s="113">
        <f t="shared" si="23"/>
        <v>-1059658</v>
      </c>
      <c r="P101" s="113">
        <f t="shared" si="24"/>
        <v>-771913</v>
      </c>
    </row>
    <row r="102" spans="9:20">
      <c r="I102" s="215"/>
      <c r="J102" s="113">
        <f t="shared" si="17"/>
        <v>-5866591</v>
      </c>
      <c r="K102" s="215" t="s">
        <v>5008</v>
      </c>
      <c r="L102" s="84">
        <v>716000000</v>
      </c>
      <c r="M102" s="84">
        <v>319000000</v>
      </c>
      <c r="N102" s="113">
        <f t="shared" si="22"/>
        <v>1035000000</v>
      </c>
      <c r="O102" s="113">
        <f t="shared" si="23"/>
        <v>-2203407</v>
      </c>
      <c r="P102" s="113">
        <f t="shared" si="24"/>
        <v>-8069998</v>
      </c>
    </row>
    <row r="103" spans="9:20">
      <c r="I103" s="215"/>
      <c r="J103" s="113">
        <f t="shared" si="17"/>
        <v>288384</v>
      </c>
      <c r="K103" s="215" t="s">
        <v>5007</v>
      </c>
      <c r="L103" s="84">
        <v>716288384</v>
      </c>
      <c r="M103" s="84">
        <v>320388494</v>
      </c>
      <c r="N103" s="113">
        <f t="shared" si="22"/>
        <v>1036676878</v>
      </c>
      <c r="O103" s="113">
        <f t="shared" si="23"/>
        <v>1388494</v>
      </c>
      <c r="P103" s="113">
        <f t="shared" si="24"/>
        <v>1676878</v>
      </c>
    </row>
    <row r="104" spans="9:20">
      <c r="I104" s="191" t="s">
        <v>5054</v>
      </c>
      <c r="J104" s="197">
        <f>L104-L103-1400000</f>
        <v>-1688384</v>
      </c>
      <c r="K104" s="191" t="s">
        <v>5051</v>
      </c>
      <c r="L104" s="244">
        <v>716000000</v>
      </c>
      <c r="M104" s="244">
        <v>322000000</v>
      </c>
      <c r="N104" s="197">
        <f t="shared" si="22"/>
        <v>1038000000</v>
      </c>
      <c r="O104" s="197">
        <f t="shared" si="23"/>
        <v>1611506</v>
      </c>
      <c r="P104" s="197">
        <f>N104-N103-1400000</f>
        <v>-76878</v>
      </c>
    </row>
    <row r="105" spans="9:20">
      <c r="I105" s="215"/>
      <c r="J105" s="113">
        <f t="shared" si="17"/>
        <v>8529471</v>
      </c>
      <c r="K105" s="215" t="s">
        <v>5053</v>
      </c>
      <c r="L105" s="84">
        <v>724529471</v>
      </c>
      <c r="M105" s="84">
        <v>326836192</v>
      </c>
      <c r="N105" s="113">
        <f t="shared" si="22"/>
        <v>1051365663</v>
      </c>
      <c r="O105" s="113">
        <f t="shared" si="23"/>
        <v>4836192</v>
      </c>
      <c r="P105" s="113">
        <f t="shared" si="24"/>
        <v>13365663</v>
      </c>
    </row>
    <row r="106" spans="9:20">
      <c r="I106" s="190" t="s">
        <v>5056</v>
      </c>
      <c r="J106" s="189">
        <f>L106-L105-1550000</f>
        <v>16319322</v>
      </c>
      <c r="K106" s="190" t="s">
        <v>5055</v>
      </c>
      <c r="L106" s="242">
        <v>742398793</v>
      </c>
      <c r="M106" s="242">
        <v>333388204</v>
      </c>
      <c r="N106" s="189">
        <f t="shared" si="22"/>
        <v>1075786997</v>
      </c>
      <c r="O106" s="189">
        <f>M106-M105-1550000</f>
        <v>5002012</v>
      </c>
      <c r="P106" s="189">
        <f>N106-N105-3100000</f>
        <v>21321334</v>
      </c>
    </row>
    <row r="107" spans="9:20">
      <c r="I107" s="215"/>
      <c r="J107" s="113">
        <f t="shared" si="17"/>
        <v>7585832</v>
      </c>
      <c r="K107" s="215" t="s">
        <v>5057</v>
      </c>
      <c r="L107" s="84">
        <v>749984625</v>
      </c>
      <c r="M107" s="84">
        <v>336802679</v>
      </c>
      <c r="N107" s="113">
        <f t="shared" si="22"/>
        <v>1086787304</v>
      </c>
      <c r="O107" s="113">
        <f t="shared" si="23"/>
        <v>3414475</v>
      </c>
      <c r="P107" s="113">
        <f t="shared" si="24"/>
        <v>11000307</v>
      </c>
    </row>
    <row r="108" spans="9:20">
      <c r="I108" s="190" t="s">
        <v>5063</v>
      </c>
      <c r="J108" s="189">
        <f>L108-L107-250000</f>
        <v>9825827</v>
      </c>
      <c r="K108" s="190" t="s">
        <v>5000</v>
      </c>
      <c r="L108" s="242">
        <v>760060452</v>
      </c>
      <c r="M108" s="242">
        <v>342834562</v>
      </c>
      <c r="N108" s="189">
        <f t="shared" si="22"/>
        <v>1102895014</v>
      </c>
      <c r="O108" s="189">
        <f t="shared" si="23"/>
        <v>6031883</v>
      </c>
      <c r="P108" s="189">
        <f>N108-N107-250000</f>
        <v>15857710</v>
      </c>
    </row>
    <row r="109" spans="9:20">
      <c r="I109" s="215"/>
      <c r="J109" s="113">
        <f t="shared" si="17"/>
        <v>4204925</v>
      </c>
      <c r="K109" s="215" t="s">
        <v>5064</v>
      </c>
      <c r="L109" s="84">
        <v>764265377</v>
      </c>
      <c r="M109" s="84">
        <v>346850621</v>
      </c>
      <c r="N109" s="113">
        <f t="shared" si="22"/>
        <v>1111115998</v>
      </c>
      <c r="O109" s="113">
        <f t="shared" si="23"/>
        <v>4016059</v>
      </c>
      <c r="P109" s="113">
        <f t="shared" si="24"/>
        <v>8220984</v>
      </c>
    </row>
    <row r="110" spans="9:20" ht="45">
      <c r="I110" s="251" t="s">
        <v>5074</v>
      </c>
      <c r="J110" s="252">
        <f>L110-L109+48527480</f>
        <v>-4646184</v>
      </c>
      <c r="K110" s="218" t="s">
        <v>5068</v>
      </c>
      <c r="L110" s="253">
        <v>711091713</v>
      </c>
      <c r="M110" s="253">
        <v>365802118</v>
      </c>
      <c r="N110" s="252">
        <f t="shared" si="22"/>
        <v>1076893831</v>
      </c>
      <c r="O110" s="252">
        <f>M110-M109+2668880-50000000</f>
        <v>-28379623</v>
      </c>
      <c r="P110" s="252">
        <f>N110-N109-50000000+48527480+2668880</f>
        <v>-33025807</v>
      </c>
    </row>
    <row r="111" spans="9:20">
      <c r="I111" s="215"/>
      <c r="J111" s="113">
        <f t="shared" si="17"/>
        <v>12126436</v>
      </c>
      <c r="K111" s="215" t="s">
        <v>5077</v>
      </c>
      <c r="L111" s="84">
        <v>723218149</v>
      </c>
      <c r="M111" s="84">
        <v>378192152</v>
      </c>
      <c r="N111" s="113">
        <f t="shared" ref="N111:N126" si="25">L111+M111</f>
        <v>1101410301</v>
      </c>
      <c r="O111" s="113">
        <f t="shared" ref="O111:O126" si="26">M111-M110</f>
        <v>12390034</v>
      </c>
      <c r="P111" s="113">
        <f t="shared" ref="P111:P126" si="27">N111-N110</f>
        <v>24516470</v>
      </c>
    </row>
    <row r="112" spans="9:20">
      <c r="I112" s="215"/>
      <c r="J112" s="113">
        <f t="shared" si="17"/>
        <v>-723218149</v>
      </c>
      <c r="K112" s="215"/>
      <c r="L112" s="84"/>
      <c r="M112" s="84"/>
      <c r="N112" s="113">
        <f t="shared" si="25"/>
        <v>0</v>
      </c>
      <c r="O112" s="113">
        <f t="shared" si="26"/>
        <v>-378192152</v>
      </c>
      <c r="P112" s="113">
        <f t="shared" si="27"/>
        <v>-1101410301</v>
      </c>
      <c r="T112" t="s">
        <v>25</v>
      </c>
    </row>
    <row r="113" spans="9:19">
      <c r="I113" s="215"/>
      <c r="J113" s="113">
        <f t="shared" si="17"/>
        <v>0</v>
      </c>
      <c r="K113" s="215"/>
      <c r="L113" s="84"/>
      <c r="M113" s="84"/>
      <c r="N113" s="113">
        <f t="shared" si="25"/>
        <v>0</v>
      </c>
      <c r="O113" s="113">
        <f t="shared" si="26"/>
        <v>0</v>
      </c>
      <c r="P113" s="113">
        <f t="shared" si="27"/>
        <v>0</v>
      </c>
      <c r="S113" t="s">
        <v>25</v>
      </c>
    </row>
    <row r="114" spans="9:19">
      <c r="I114" s="215"/>
      <c r="J114" s="113">
        <f t="shared" si="17"/>
        <v>0</v>
      </c>
      <c r="K114" s="215"/>
      <c r="L114" s="84"/>
      <c r="M114" s="84"/>
      <c r="N114" s="113">
        <f t="shared" si="25"/>
        <v>0</v>
      </c>
      <c r="O114" s="113">
        <f t="shared" si="26"/>
        <v>0</v>
      </c>
      <c r="P114" s="113">
        <f t="shared" si="27"/>
        <v>0</v>
      </c>
    </row>
    <row r="115" spans="9:19">
      <c r="I115" s="215"/>
      <c r="J115" s="113">
        <f t="shared" si="17"/>
        <v>0</v>
      </c>
      <c r="K115" s="215"/>
      <c r="L115" s="84"/>
      <c r="M115" s="84"/>
      <c r="N115" s="113">
        <f t="shared" si="25"/>
        <v>0</v>
      </c>
      <c r="O115" s="113">
        <f t="shared" si="26"/>
        <v>0</v>
      </c>
      <c r="P115" s="113">
        <f t="shared" si="27"/>
        <v>0</v>
      </c>
    </row>
    <row r="116" spans="9:19">
      <c r="I116" s="215"/>
      <c r="J116" s="113">
        <f t="shared" si="17"/>
        <v>0</v>
      </c>
      <c r="K116" s="215"/>
      <c r="L116" s="84"/>
      <c r="M116" s="84"/>
      <c r="N116" s="113">
        <f t="shared" si="25"/>
        <v>0</v>
      </c>
      <c r="O116" s="113">
        <f t="shared" si="26"/>
        <v>0</v>
      </c>
      <c r="P116" s="113">
        <f t="shared" si="27"/>
        <v>0</v>
      </c>
    </row>
    <row r="117" spans="9:19">
      <c r="I117" s="215"/>
      <c r="J117" s="113">
        <f t="shared" si="17"/>
        <v>0</v>
      </c>
      <c r="K117" s="215"/>
      <c r="L117" s="84"/>
      <c r="M117" s="84"/>
      <c r="N117" s="113">
        <f t="shared" si="25"/>
        <v>0</v>
      </c>
      <c r="O117" s="113">
        <f t="shared" si="26"/>
        <v>0</v>
      </c>
      <c r="P117" s="113">
        <f t="shared" si="27"/>
        <v>0</v>
      </c>
    </row>
    <row r="118" spans="9:19">
      <c r="I118" s="215"/>
      <c r="J118" s="113">
        <f t="shared" si="17"/>
        <v>0</v>
      </c>
      <c r="K118" s="215"/>
      <c r="L118" s="84"/>
      <c r="M118" s="84"/>
      <c r="N118" s="113">
        <f t="shared" si="25"/>
        <v>0</v>
      </c>
      <c r="O118" s="113">
        <f t="shared" si="26"/>
        <v>0</v>
      </c>
      <c r="P118" s="113">
        <f t="shared" si="27"/>
        <v>0</v>
      </c>
    </row>
    <row r="119" spans="9:19">
      <c r="I119" s="215"/>
      <c r="J119" s="113">
        <f t="shared" si="17"/>
        <v>0</v>
      </c>
      <c r="K119" s="215"/>
      <c r="L119" s="84"/>
      <c r="M119" s="84"/>
      <c r="N119" s="113">
        <f t="shared" si="25"/>
        <v>0</v>
      </c>
      <c r="O119" s="113">
        <f t="shared" si="26"/>
        <v>0</v>
      </c>
      <c r="P119" s="113">
        <f t="shared" si="27"/>
        <v>0</v>
      </c>
    </row>
    <row r="120" spans="9:19">
      <c r="I120" s="215"/>
      <c r="J120" s="113">
        <f t="shared" si="17"/>
        <v>0</v>
      </c>
      <c r="K120" s="215"/>
      <c r="L120" s="84"/>
      <c r="M120" s="84"/>
      <c r="N120" s="113">
        <f t="shared" si="25"/>
        <v>0</v>
      </c>
      <c r="O120" s="113">
        <f t="shared" si="26"/>
        <v>0</v>
      </c>
      <c r="P120" s="113">
        <f t="shared" si="27"/>
        <v>0</v>
      </c>
    </row>
    <row r="121" spans="9:19">
      <c r="I121" s="215"/>
      <c r="J121" s="113">
        <f t="shared" si="17"/>
        <v>0</v>
      </c>
      <c r="K121" s="215"/>
      <c r="L121" s="84"/>
      <c r="M121" s="84"/>
      <c r="N121" s="113">
        <f t="shared" si="25"/>
        <v>0</v>
      </c>
      <c r="O121" s="113">
        <f t="shared" si="26"/>
        <v>0</v>
      </c>
      <c r="P121" s="113">
        <f t="shared" si="27"/>
        <v>0</v>
      </c>
    </row>
    <row r="122" spans="9:19">
      <c r="I122" s="215"/>
      <c r="J122" s="113">
        <f t="shared" si="17"/>
        <v>0</v>
      </c>
      <c r="K122" s="215"/>
      <c r="L122" s="84"/>
      <c r="M122" s="84"/>
      <c r="N122" s="113">
        <f t="shared" si="25"/>
        <v>0</v>
      </c>
      <c r="O122" s="113">
        <f t="shared" si="26"/>
        <v>0</v>
      </c>
      <c r="P122" s="113">
        <f t="shared" si="27"/>
        <v>0</v>
      </c>
    </row>
    <row r="123" spans="9:19">
      <c r="I123" s="215"/>
      <c r="J123" s="113">
        <f t="shared" si="17"/>
        <v>0</v>
      </c>
      <c r="K123" s="215"/>
      <c r="L123" s="84"/>
      <c r="M123" s="84"/>
      <c r="N123" s="113">
        <f t="shared" si="25"/>
        <v>0</v>
      </c>
      <c r="O123" s="113">
        <f t="shared" si="26"/>
        <v>0</v>
      </c>
      <c r="P123" s="113">
        <f t="shared" si="27"/>
        <v>0</v>
      </c>
    </row>
    <row r="124" spans="9:19">
      <c r="I124" s="215"/>
      <c r="J124" s="113">
        <f t="shared" si="17"/>
        <v>0</v>
      </c>
      <c r="K124" s="215"/>
      <c r="L124" s="84"/>
      <c r="M124" s="84"/>
      <c r="N124" s="113">
        <f t="shared" si="25"/>
        <v>0</v>
      </c>
      <c r="O124" s="113">
        <f t="shared" si="26"/>
        <v>0</v>
      </c>
      <c r="P124" s="113">
        <f t="shared" si="27"/>
        <v>0</v>
      </c>
    </row>
    <row r="125" spans="9:19">
      <c r="I125" s="215"/>
      <c r="J125" s="113">
        <f t="shared" si="17"/>
        <v>0</v>
      </c>
      <c r="K125" s="215"/>
      <c r="L125" s="84"/>
      <c r="M125" s="84"/>
      <c r="N125" s="113">
        <f t="shared" si="25"/>
        <v>0</v>
      </c>
      <c r="O125" s="113">
        <f t="shared" si="26"/>
        <v>0</v>
      </c>
      <c r="P125" s="113">
        <f t="shared" si="27"/>
        <v>0</v>
      </c>
    </row>
    <row r="126" spans="9:19">
      <c r="I126" s="215"/>
      <c r="J126" s="113">
        <f t="shared" si="17"/>
        <v>0</v>
      </c>
      <c r="K126" s="215"/>
      <c r="L126" s="84">
        <v>0</v>
      </c>
      <c r="M126" s="84"/>
      <c r="N126" s="215">
        <f t="shared" si="25"/>
        <v>0</v>
      </c>
      <c r="O126" s="113">
        <f t="shared" si="26"/>
        <v>0</v>
      </c>
      <c r="P126" s="113">
        <f t="shared" si="27"/>
        <v>0</v>
      </c>
    </row>
    <row r="129" spans="12:16">
      <c r="O129" t="s">
        <v>25</v>
      </c>
    </row>
    <row r="130" spans="12:16">
      <c r="L130" t="s">
        <v>25</v>
      </c>
      <c r="N130" t="s">
        <v>25</v>
      </c>
      <c r="O130" t="s">
        <v>25</v>
      </c>
    </row>
    <row r="131" spans="12:16">
      <c r="P131" t="s">
        <v>25</v>
      </c>
    </row>
    <row r="132" spans="12:16">
      <c r="N132" t="s">
        <v>25</v>
      </c>
    </row>
    <row r="133" spans="12:16">
      <c r="N133" t="s">
        <v>25</v>
      </c>
      <c r="O133" t="s">
        <v>25</v>
      </c>
    </row>
    <row r="135" spans="12:16">
      <c r="N135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 J87 J90 J95 J104 P104 J106 O106:P106 J108 P108 O110:P110 J11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4" workbookViewId="0">
      <selection activeCell="D57" sqref="D57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768</v>
      </c>
      <c r="F2" s="99">
        <f t="shared" ref="F2:F43" si="0">IF(B2&gt;0,1,0)</f>
        <v>1</v>
      </c>
      <c r="G2" s="99">
        <f>B2*(E2-F2)</f>
        <v>38350000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762</v>
      </c>
      <c r="F3" s="99">
        <f t="shared" si="0"/>
        <v>1</v>
      </c>
      <c r="G3" s="99">
        <f t="shared" ref="G3:G62" si="2">B3*(E3-F3)</f>
        <v>11415000000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760</v>
      </c>
      <c r="F4" s="99">
        <f t="shared" si="0"/>
        <v>0</v>
      </c>
      <c r="G4" s="99">
        <f t="shared" si="2"/>
        <v>-2280000000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759</v>
      </c>
      <c r="F5" s="99">
        <f t="shared" si="0"/>
        <v>0</v>
      </c>
      <c r="G5" s="99">
        <f t="shared" si="2"/>
        <v>-2429483100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757</v>
      </c>
      <c r="F6" s="99">
        <f t="shared" si="0"/>
        <v>0</v>
      </c>
      <c r="G6" s="99">
        <f>B6*(E6-F6)</f>
        <v>-2271681300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755</v>
      </c>
      <c r="F7" s="99">
        <f t="shared" si="0"/>
        <v>0</v>
      </c>
      <c r="G7" s="99">
        <f t="shared" si="2"/>
        <v>-4383454500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733</v>
      </c>
      <c r="F8" s="99">
        <f t="shared" si="0"/>
        <v>1</v>
      </c>
      <c r="G8" s="99">
        <f t="shared" si="2"/>
        <v>39833244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461</v>
      </c>
      <c r="F9" s="99">
        <f t="shared" si="0"/>
        <v>0</v>
      </c>
      <c r="G9" s="99">
        <f>B9*(E9-F9)</f>
        <v>-36880000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396</v>
      </c>
      <c r="F10" s="99">
        <f t="shared" si="0"/>
        <v>1</v>
      </c>
      <c r="G10" s="99">
        <f t="shared" si="2"/>
        <v>335750000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382</v>
      </c>
      <c r="F11" s="99">
        <f t="shared" si="0"/>
        <v>0</v>
      </c>
      <c r="G11" s="99">
        <f t="shared" si="2"/>
        <v>-267400000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376</v>
      </c>
      <c r="F12" s="99">
        <f t="shared" si="0"/>
        <v>1</v>
      </c>
      <c r="G12" s="99">
        <f t="shared" si="2"/>
        <v>375000000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368</v>
      </c>
      <c r="F13" s="99">
        <f t="shared" si="0"/>
        <v>1</v>
      </c>
      <c r="G13" s="99">
        <f t="shared" si="2"/>
        <v>1782519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367</v>
      </c>
      <c r="F14" s="99">
        <f t="shared" si="0"/>
        <v>0</v>
      </c>
      <c r="G14" s="99">
        <f t="shared" si="2"/>
        <v>-70097000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352</v>
      </c>
      <c r="F15" s="99">
        <f t="shared" si="0"/>
        <v>0</v>
      </c>
      <c r="G15" s="99">
        <f t="shared" si="2"/>
        <v>-70400000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336</v>
      </c>
      <c r="F16" s="99">
        <f t="shared" si="0"/>
        <v>0</v>
      </c>
      <c r="G16" s="99">
        <f t="shared" si="2"/>
        <v>-233303616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329</v>
      </c>
      <c r="F17" s="99">
        <f t="shared" si="0"/>
        <v>1</v>
      </c>
      <c r="G17" s="99">
        <f t="shared" si="2"/>
        <v>16400000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306</v>
      </c>
      <c r="F18" s="99">
        <f t="shared" si="0"/>
        <v>1</v>
      </c>
      <c r="G18" s="99">
        <f t="shared" si="2"/>
        <v>319335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298</v>
      </c>
      <c r="F19" s="99">
        <f t="shared" si="0"/>
        <v>1</v>
      </c>
      <c r="G19" s="99">
        <f t="shared" si="2"/>
        <v>233293500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297</v>
      </c>
      <c r="F20" s="99">
        <f t="shared" si="0"/>
        <v>0</v>
      </c>
      <c r="G20" s="99">
        <f t="shared" si="2"/>
        <v>-17077500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297</v>
      </c>
      <c r="F21" s="99">
        <f t="shared" si="0"/>
        <v>1</v>
      </c>
      <c r="G21" s="99">
        <f t="shared" si="2"/>
        <v>1805304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287</v>
      </c>
      <c r="F22" s="99">
        <f t="shared" si="0"/>
        <v>0</v>
      </c>
      <c r="G22" s="99">
        <f t="shared" si="2"/>
        <v>-24395000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283</v>
      </c>
      <c r="F23" s="99">
        <f t="shared" si="0"/>
        <v>0</v>
      </c>
      <c r="G23" s="99">
        <f t="shared" si="2"/>
        <v>-50940000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283</v>
      </c>
      <c r="F24" s="99">
        <f t="shared" si="0"/>
        <v>0</v>
      </c>
      <c r="G24" s="99">
        <f t="shared" si="2"/>
        <v>-19527000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277</v>
      </c>
      <c r="F25" s="99">
        <f t="shared" si="0"/>
        <v>0</v>
      </c>
      <c r="G25" s="99">
        <f t="shared" si="2"/>
        <v>-2382200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277</v>
      </c>
      <c r="F26" s="99">
        <f t="shared" si="0"/>
        <v>0</v>
      </c>
      <c r="G26" s="99">
        <f t="shared" si="2"/>
        <v>-11080000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277</v>
      </c>
      <c r="F27" s="99">
        <f t="shared" si="0"/>
        <v>0</v>
      </c>
      <c r="G27" s="99">
        <f t="shared" si="2"/>
        <v>-25622500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277</v>
      </c>
      <c r="F28" s="99">
        <f t="shared" si="0"/>
        <v>0</v>
      </c>
      <c r="G28" s="99">
        <f t="shared" si="2"/>
        <v>-13019000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276</v>
      </c>
      <c r="F29" s="99">
        <f t="shared" si="0"/>
        <v>0</v>
      </c>
      <c r="G29" s="99">
        <f t="shared" si="2"/>
        <v>-21390000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276</v>
      </c>
      <c r="F30" s="99">
        <f t="shared" si="0"/>
        <v>0</v>
      </c>
      <c r="G30" s="99">
        <f t="shared" si="2"/>
        <v>-15732000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276</v>
      </c>
      <c r="F31" s="99">
        <f t="shared" si="0"/>
        <v>0</v>
      </c>
      <c r="G31" s="99">
        <f t="shared" si="2"/>
        <v>-12420000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276</v>
      </c>
      <c r="F32" s="99">
        <f t="shared" si="0"/>
        <v>0</v>
      </c>
      <c r="G32" s="99">
        <f t="shared" si="2"/>
        <v>-8280000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273</v>
      </c>
      <c r="F33" s="99">
        <f t="shared" si="0"/>
        <v>1</v>
      </c>
      <c r="G33" s="99">
        <f t="shared" si="2"/>
        <v>272000000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272</v>
      </c>
      <c r="F34" s="99">
        <f t="shared" si="0"/>
        <v>0</v>
      </c>
      <c r="G34" s="99">
        <f t="shared" si="2"/>
        <v>-21678400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265</v>
      </c>
      <c r="F35" s="99">
        <f t="shared" si="0"/>
        <v>0</v>
      </c>
      <c r="G35" s="99">
        <f t="shared" si="2"/>
        <v>-314555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260</v>
      </c>
      <c r="F36" s="99">
        <f t="shared" si="0"/>
        <v>0</v>
      </c>
      <c r="G36" s="99">
        <f t="shared" si="2"/>
        <v>-14368120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259</v>
      </c>
      <c r="F37" s="99">
        <f t="shared" si="0"/>
        <v>0</v>
      </c>
      <c r="G37" s="99">
        <f t="shared" si="2"/>
        <v>-4066300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252</v>
      </c>
      <c r="F38" s="99">
        <f t="shared" si="0"/>
        <v>0</v>
      </c>
      <c r="G38" s="99">
        <f t="shared" si="2"/>
        <v>-44352000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251</v>
      </c>
      <c r="F39" s="99">
        <f t="shared" si="0"/>
        <v>0</v>
      </c>
      <c r="G39" s="99">
        <f t="shared" si="2"/>
        <v>-17218600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244</v>
      </c>
      <c r="F40" s="99">
        <f t="shared" si="0"/>
        <v>0</v>
      </c>
      <c r="G40" s="99">
        <f t="shared" si="2"/>
        <v>-863760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62" si="5">E42+D41</f>
        <v>240</v>
      </c>
      <c r="F41" s="99">
        <f t="shared" si="0"/>
        <v>0</v>
      </c>
      <c r="G41" s="99">
        <f t="shared" si="2"/>
        <v>-75624240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238</v>
      </c>
      <c r="F42" s="99">
        <f t="shared" si="0"/>
        <v>0</v>
      </c>
      <c r="G42" s="99">
        <f t="shared" si="2"/>
        <v>-99008000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105</v>
      </c>
      <c r="F43" s="99">
        <f t="shared" si="0"/>
        <v>1</v>
      </c>
      <c r="G43" s="99">
        <f t="shared" si="2"/>
        <v>10400000</v>
      </c>
    </row>
    <row r="44" spans="1:14">
      <c r="A44" s="99" t="s">
        <v>4808</v>
      </c>
      <c r="B44" s="113">
        <v>-31000</v>
      </c>
      <c r="C44" s="99" t="s">
        <v>4821</v>
      </c>
      <c r="D44" s="99">
        <v>19</v>
      </c>
      <c r="E44" s="99">
        <f t="shared" ref="E44:E50" si="6">E45+D44</f>
        <v>47</v>
      </c>
      <c r="F44" s="99">
        <f t="shared" ref="F44:F50" si="7">IF(B44&gt;0,1,0)</f>
        <v>0</v>
      </c>
      <c r="G44" s="99">
        <f t="shared" ref="G44:G50" si="8">B44*(E44-F44)</f>
        <v>-1457000</v>
      </c>
    </row>
    <row r="45" spans="1:14">
      <c r="A45" s="99" t="s">
        <v>4909</v>
      </c>
      <c r="B45" s="113">
        <v>2060725</v>
      </c>
      <c r="C45" s="99" t="s">
        <v>4914</v>
      </c>
      <c r="D45" s="99">
        <v>6</v>
      </c>
      <c r="E45" s="99">
        <f t="shared" si="6"/>
        <v>28</v>
      </c>
      <c r="F45" s="99">
        <f t="shared" si="7"/>
        <v>1</v>
      </c>
      <c r="G45" s="99">
        <f t="shared" si="8"/>
        <v>55639575</v>
      </c>
    </row>
    <row r="46" spans="1:14">
      <c r="A46" s="99" t="s">
        <v>4945</v>
      </c>
      <c r="B46" s="113">
        <v>-1073169</v>
      </c>
      <c r="C46" s="99" t="s">
        <v>4946</v>
      </c>
      <c r="D46" s="99">
        <v>4</v>
      </c>
      <c r="E46" s="99">
        <f t="shared" si="6"/>
        <v>22</v>
      </c>
      <c r="F46" s="99">
        <f t="shared" si="7"/>
        <v>0</v>
      </c>
      <c r="G46" s="99">
        <f t="shared" si="8"/>
        <v>-23609718</v>
      </c>
    </row>
    <row r="47" spans="1:14">
      <c r="A47" s="99" t="s">
        <v>4934</v>
      </c>
      <c r="B47" s="113">
        <v>-178820</v>
      </c>
      <c r="C47" s="99" t="s">
        <v>4014</v>
      </c>
      <c r="D47" s="99">
        <v>0</v>
      </c>
      <c r="E47" s="99">
        <f t="shared" si="6"/>
        <v>18</v>
      </c>
      <c r="F47" s="99">
        <f t="shared" si="7"/>
        <v>0</v>
      </c>
      <c r="G47" s="99">
        <f t="shared" si="8"/>
        <v>-3218760</v>
      </c>
      <c r="L47" t="s">
        <v>25</v>
      </c>
    </row>
    <row r="48" spans="1:14">
      <c r="A48" s="99" t="s">
        <v>4934</v>
      </c>
      <c r="B48" s="113">
        <v>-25000</v>
      </c>
      <c r="C48" s="99" t="s">
        <v>751</v>
      </c>
      <c r="D48" s="99">
        <v>4</v>
      </c>
      <c r="E48" s="99">
        <f t="shared" si="6"/>
        <v>18</v>
      </c>
      <c r="F48" s="99">
        <f t="shared" si="7"/>
        <v>0</v>
      </c>
      <c r="G48" s="99">
        <f t="shared" si="8"/>
        <v>-450000</v>
      </c>
      <c r="L48" t="s">
        <v>25</v>
      </c>
    </row>
    <row r="49" spans="1:13">
      <c r="A49" s="99" t="s">
        <v>4950</v>
      </c>
      <c r="B49" s="113">
        <v>-49500</v>
      </c>
      <c r="C49" s="99" t="s">
        <v>452</v>
      </c>
      <c r="D49" s="99">
        <v>2</v>
      </c>
      <c r="E49" s="99">
        <f t="shared" si="6"/>
        <v>14</v>
      </c>
      <c r="F49" s="99">
        <f t="shared" si="7"/>
        <v>0</v>
      </c>
      <c r="G49" s="99">
        <f t="shared" si="8"/>
        <v>-693000</v>
      </c>
    </row>
    <row r="50" spans="1:13">
      <c r="A50" s="99" t="s">
        <v>4957</v>
      </c>
      <c r="B50" s="113">
        <v>-4500</v>
      </c>
      <c r="C50" s="99" t="s">
        <v>452</v>
      </c>
      <c r="D50" s="99">
        <v>1</v>
      </c>
      <c r="E50" s="99">
        <f t="shared" si="6"/>
        <v>12</v>
      </c>
      <c r="F50" s="99">
        <f t="shared" si="7"/>
        <v>0</v>
      </c>
      <c r="G50" s="99">
        <f t="shared" si="8"/>
        <v>-54000</v>
      </c>
    </row>
    <row r="51" spans="1:13">
      <c r="A51" s="99" t="s">
        <v>4958</v>
      </c>
      <c r="B51" s="113">
        <v>-328000</v>
      </c>
      <c r="C51" s="99" t="s">
        <v>452</v>
      </c>
      <c r="D51" s="99">
        <v>4</v>
      </c>
      <c r="E51" s="99">
        <f t="shared" ref="E51:E61" si="9">E52+D51</f>
        <v>11</v>
      </c>
      <c r="F51" s="99">
        <f t="shared" ref="F51:F61" si="10">IF(B51&gt;0,1,0)</f>
        <v>0</v>
      </c>
      <c r="G51" s="99">
        <f t="shared" ref="G51:G61" si="11">B51*(E51-F51)</f>
        <v>-3608000</v>
      </c>
    </row>
    <row r="52" spans="1:13">
      <c r="A52" s="99" t="s">
        <v>4965</v>
      </c>
      <c r="B52" s="113">
        <v>-195330</v>
      </c>
      <c r="C52" s="99" t="s">
        <v>4972</v>
      </c>
      <c r="D52" s="99">
        <v>1</v>
      </c>
      <c r="E52" s="99">
        <f t="shared" si="9"/>
        <v>7</v>
      </c>
      <c r="F52" s="99">
        <f t="shared" si="10"/>
        <v>0</v>
      </c>
      <c r="G52" s="99">
        <f t="shared" si="11"/>
        <v>-1367310</v>
      </c>
    </row>
    <row r="53" spans="1:13">
      <c r="A53" s="99" t="s">
        <v>4979</v>
      </c>
      <c r="B53" s="113">
        <v>-140730</v>
      </c>
      <c r="C53" s="99" t="s">
        <v>4986</v>
      </c>
      <c r="D53" s="99">
        <v>1</v>
      </c>
      <c r="E53" s="99">
        <f t="shared" si="9"/>
        <v>6</v>
      </c>
      <c r="F53" s="99">
        <f t="shared" si="10"/>
        <v>0</v>
      </c>
      <c r="G53" s="99">
        <f t="shared" si="11"/>
        <v>-844380</v>
      </c>
    </row>
    <row r="54" spans="1:13">
      <c r="A54" s="99" t="s">
        <v>4984</v>
      </c>
      <c r="B54" s="113">
        <v>-4200</v>
      </c>
      <c r="C54" s="99" t="s">
        <v>1070</v>
      </c>
      <c r="D54" s="99">
        <v>0</v>
      </c>
      <c r="E54" s="99">
        <f t="shared" si="9"/>
        <v>5</v>
      </c>
      <c r="F54" s="99">
        <f t="shared" si="10"/>
        <v>0</v>
      </c>
      <c r="G54" s="99">
        <f t="shared" si="11"/>
        <v>-21000</v>
      </c>
    </row>
    <row r="55" spans="1:13">
      <c r="A55" s="99" t="s">
        <v>4984</v>
      </c>
      <c r="B55" s="113">
        <v>-66567</v>
      </c>
      <c r="C55" s="99" t="s">
        <v>4014</v>
      </c>
      <c r="D55" s="99">
        <v>4</v>
      </c>
      <c r="E55" s="99">
        <f t="shared" si="9"/>
        <v>5</v>
      </c>
      <c r="F55" s="99">
        <f t="shared" si="10"/>
        <v>0</v>
      </c>
      <c r="G55" s="99">
        <f t="shared" si="11"/>
        <v>-332835</v>
      </c>
    </row>
    <row r="56" spans="1:13">
      <c r="A56" s="99" t="s">
        <v>4988</v>
      </c>
      <c r="B56" s="113">
        <v>-10000</v>
      </c>
      <c r="C56" s="99" t="s">
        <v>452</v>
      </c>
      <c r="D56" s="99">
        <v>1</v>
      </c>
      <c r="E56" s="99">
        <f t="shared" si="9"/>
        <v>1</v>
      </c>
      <c r="F56" s="99">
        <f t="shared" si="10"/>
        <v>0</v>
      </c>
      <c r="G56" s="99">
        <f t="shared" si="11"/>
        <v>-10000</v>
      </c>
    </row>
    <row r="57" spans="1:13">
      <c r="A57" s="99"/>
      <c r="B57" s="113"/>
      <c r="C57" s="99"/>
      <c r="D57" s="99"/>
      <c r="E57" s="99">
        <f t="shared" si="9"/>
        <v>0</v>
      </c>
      <c r="F57" s="99">
        <f t="shared" si="10"/>
        <v>0</v>
      </c>
      <c r="G57" s="99">
        <f t="shared" si="11"/>
        <v>0</v>
      </c>
      <c r="J57" t="s">
        <v>25</v>
      </c>
    </row>
    <row r="58" spans="1:13">
      <c r="A58" s="99"/>
      <c r="B58" s="113"/>
      <c r="C58" s="99"/>
      <c r="D58" s="99"/>
      <c r="E58" s="99">
        <f t="shared" si="9"/>
        <v>0</v>
      </c>
      <c r="F58" s="99">
        <f t="shared" si="10"/>
        <v>0</v>
      </c>
      <c r="G58" s="99">
        <f t="shared" si="11"/>
        <v>0</v>
      </c>
    </row>
    <row r="59" spans="1:13">
      <c r="A59" s="99"/>
      <c r="B59" s="113"/>
      <c r="C59" s="99"/>
      <c r="D59" s="99"/>
      <c r="E59" s="99">
        <f t="shared" si="9"/>
        <v>0</v>
      </c>
      <c r="F59" s="99">
        <f t="shared" si="10"/>
        <v>0</v>
      </c>
      <c r="G59" s="99">
        <f t="shared" si="11"/>
        <v>0</v>
      </c>
      <c r="M59" t="s">
        <v>25</v>
      </c>
    </row>
    <row r="60" spans="1:13">
      <c r="A60" s="99"/>
      <c r="B60" s="113"/>
      <c r="C60" s="99"/>
      <c r="D60" s="99">
        <v>0</v>
      </c>
      <c r="E60" s="99">
        <f t="shared" si="9"/>
        <v>0</v>
      </c>
      <c r="F60" s="99">
        <f t="shared" si="10"/>
        <v>0</v>
      </c>
      <c r="G60" s="99">
        <f t="shared" si="11"/>
        <v>0</v>
      </c>
    </row>
    <row r="61" spans="1:13">
      <c r="A61" s="99"/>
      <c r="B61" s="113"/>
      <c r="C61" s="99"/>
      <c r="D61" s="99">
        <v>0</v>
      </c>
      <c r="E61" s="99">
        <f t="shared" si="9"/>
        <v>0</v>
      </c>
      <c r="F61" s="99">
        <f t="shared" si="10"/>
        <v>0</v>
      </c>
      <c r="G61" s="99">
        <f t="shared" si="11"/>
        <v>0</v>
      </c>
    </row>
    <row r="62" spans="1:13">
      <c r="A62" s="99"/>
      <c r="B62" s="113"/>
      <c r="C62" s="99"/>
      <c r="D62" s="99"/>
      <c r="E62" s="99">
        <f t="shared" si="5"/>
        <v>0</v>
      </c>
      <c r="F62" s="99">
        <f>IF(B33&gt;0,1,0)</f>
        <v>1</v>
      </c>
      <c r="G62" s="99">
        <f t="shared" si="2"/>
        <v>0</v>
      </c>
    </row>
    <row r="63" spans="1:13">
      <c r="A63" s="99"/>
      <c r="B63" s="95">
        <f>SUM(B2:B62)</f>
        <v>62583</v>
      </c>
      <c r="C63" s="99"/>
      <c r="D63" s="99"/>
      <c r="E63" s="99"/>
      <c r="F63" s="99"/>
      <c r="G63" s="95">
        <f>SUM(G2:G33)</f>
        <v>464969186</v>
      </c>
    </row>
    <row r="64" spans="1:13">
      <c r="A64" s="99"/>
      <c r="B64" s="99" t="s">
        <v>283</v>
      </c>
      <c r="C64" s="99"/>
      <c r="D64" s="99"/>
      <c r="E64" s="99"/>
      <c r="F64" s="99" t="s">
        <v>25</v>
      </c>
      <c r="G64" s="99" t="s">
        <v>284</v>
      </c>
    </row>
    <row r="65" spans="1:7">
      <c r="A65" s="99"/>
      <c r="B65" s="99"/>
      <c r="C65" s="99"/>
      <c r="D65" s="99"/>
      <c r="E65" s="99"/>
      <c r="F65" s="99"/>
      <c r="G65" s="99"/>
    </row>
    <row r="66" spans="1:7">
      <c r="A66" s="99"/>
      <c r="B66" s="99"/>
      <c r="C66" s="99"/>
      <c r="D66" s="99"/>
      <c r="E66" s="99"/>
      <c r="F66" s="99"/>
      <c r="G66" s="113">
        <f>G63/E2</f>
        <v>605428.62760416663</v>
      </c>
    </row>
    <row r="67" spans="1:7">
      <c r="A67" s="99"/>
      <c r="B67" s="99"/>
      <c r="C67" s="99"/>
      <c r="D67" s="99"/>
      <c r="E67" s="99"/>
      <c r="F67" s="99"/>
      <c r="G67" s="99" t="s">
        <v>286</v>
      </c>
    </row>
    <row r="70" spans="1:7">
      <c r="E7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4868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4868</v>
      </c>
      <c r="I46" s="11">
        <v>248200</v>
      </c>
      <c r="J46" s="11" t="s">
        <v>4879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15" sqref="C15"/>
    </sheetView>
  </sheetViews>
  <sheetFormatPr defaultRowHeight="15"/>
  <cols>
    <col min="1" max="1" width="15.42578125" bestFit="1" customWidth="1"/>
    <col min="2" max="2" width="12.42578125" customWidth="1"/>
    <col min="4" max="4" width="14.5703125" bestFit="1" customWidth="1"/>
    <col min="9" max="9" width="12" bestFit="1" customWidth="1"/>
    <col min="10" max="10" width="13.42578125" bestFit="1" customWidth="1"/>
    <col min="11" max="11" width="12" bestFit="1" customWidth="1"/>
  </cols>
  <sheetData>
    <row r="1" spans="1:11">
      <c r="A1" s="99" t="s">
        <v>5030</v>
      </c>
      <c r="B1" s="99" t="s">
        <v>5031</v>
      </c>
      <c r="C1" s="99" t="s">
        <v>5032</v>
      </c>
      <c r="D1" s="99" t="s">
        <v>5033</v>
      </c>
      <c r="E1" s="99" t="s">
        <v>5043</v>
      </c>
      <c r="F1" s="99" t="s">
        <v>5042</v>
      </c>
      <c r="G1" s="99"/>
      <c r="I1" t="s">
        <v>5035</v>
      </c>
      <c r="J1" t="s">
        <v>5039</v>
      </c>
      <c r="K1" t="s">
        <v>5040</v>
      </c>
    </row>
    <row r="2" spans="1:11">
      <c r="A2" s="99" t="s">
        <v>5034</v>
      </c>
      <c r="B2" s="99">
        <v>1120643604</v>
      </c>
      <c r="C2" s="99">
        <v>950</v>
      </c>
      <c r="D2" s="99">
        <f>B2*C2/$I$2</f>
        <v>14.786269774999999</v>
      </c>
      <c r="E2" s="99"/>
      <c r="F2" s="99"/>
      <c r="G2" s="99"/>
      <c r="I2">
        <v>72000000000</v>
      </c>
      <c r="J2">
        <v>27308458109</v>
      </c>
      <c r="K2">
        <v>40500000000</v>
      </c>
    </row>
    <row r="3" spans="1:11">
      <c r="A3" s="99" t="s">
        <v>5036</v>
      </c>
      <c r="B3" s="99">
        <v>2605736250</v>
      </c>
      <c r="C3" s="99">
        <v>80</v>
      </c>
      <c r="D3" s="99">
        <f t="shared" ref="D3:D6" si="0">B3*C3/$I$2</f>
        <v>2.8952624999999999</v>
      </c>
      <c r="E3" s="99"/>
      <c r="F3" s="99"/>
      <c r="G3" s="99"/>
      <c r="J3">
        <f>J2/K2</f>
        <v>0.67428291627160497</v>
      </c>
    </row>
    <row r="4" spans="1:11">
      <c r="A4" s="99" t="s">
        <v>5037</v>
      </c>
      <c r="B4" s="99">
        <v>560000000</v>
      </c>
      <c r="C4" s="99">
        <v>50</v>
      </c>
      <c r="D4" s="99">
        <f t="shared" si="0"/>
        <v>0.3888888888888889</v>
      </c>
      <c r="E4" s="99"/>
      <c r="F4" s="99"/>
      <c r="G4" s="99"/>
    </row>
    <row r="5" spans="1:11">
      <c r="A5" s="99" t="s">
        <v>5038</v>
      </c>
      <c r="B5" s="99">
        <v>15161250</v>
      </c>
      <c r="C5" s="99">
        <v>200</v>
      </c>
      <c r="D5" s="99">
        <f t="shared" si="0"/>
        <v>4.211458333333333E-2</v>
      </c>
      <c r="E5" s="99"/>
      <c r="F5" s="99"/>
      <c r="G5" s="99"/>
    </row>
    <row r="6" spans="1:11">
      <c r="A6" s="23"/>
      <c r="B6" s="23"/>
      <c r="C6" s="23"/>
      <c r="D6" s="23">
        <f t="shared" si="0"/>
        <v>0</v>
      </c>
      <c r="E6" s="23"/>
      <c r="F6" s="23"/>
      <c r="G6" s="23"/>
    </row>
    <row r="7" spans="1:11">
      <c r="A7" s="99" t="s">
        <v>5034</v>
      </c>
      <c r="B7" s="99">
        <v>1124709340</v>
      </c>
      <c r="C7" s="99">
        <f>C2</f>
        <v>950</v>
      </c>
      <c r="D7" s="99">
        <f>B7*C7*$J$3/$I$2</f>
        <v>10.006301097867452</v>
      </c>
      <c r="E7" s="99">
        <v>0</v>
      </c>
      <c r="F7" s="99">
        <f>B7*E7*$J$3/$I$2</f>
        <v>0</v>
      </c>
      <c r="G7" s="99"/>
    </row>
    <row r="8" spans="1:11">
      <c r="A8" s="99" t="s">
        <v>5041</v>
      </c>
      <c r="B8" s="99">
        <v>555409765</v>
      </c>
      <c r="C8" s="99">
        <v>0</v>
      </c>
      <c r="D8" s="99">
        <f t="shared" ref="D8:D19" si="1">B8*C8*$J$3/$I$2</f>
        <v>0</v>
      </c>
      <c r="E8" s="99">
        <v>300</v>
      </c>
      <c r="F8" s="99">
        <f t="shared" ref="F8:F19" si="2">B8*E8*$J$3/$I$2</f>
        <v>1.5604304836246949</v>
      </c>
      <c r="G8" s="99"/>
    </row>
    <row r="9" spans="1:11">
      <c r="A9" s="99" t="s">
        <v>5038</v>
      </c>
      <c r="B9" s="99">
        <v>2103087537</v>
      </c>
      <c r="C9" s="99">
        <v>200</v>
      </c>
      <c r="D9" s="99">
        <f t="shared" si="1"/>
        <v>3.9390999933967414</v>
      </c>
      <c r="E9" s="99"/>
      <c r="F9" s="99">
        <f t="shared" si="2"/>
        <v>0</v>
      </c>
      <c r="G9" s="99"/>
      <c r="J9" t="s">
        <v>25</v>
      </c>
    </row>
    <row r="10" spans="1:11">
      <c r="A10" s="99" t="s">
        <v>5044</v>
      </c>
      <c r="B10" s="99">
        <v>4123527587</v>
      </c>
      <c r="C10" s="99">
        <v>400</v>
      </c>
      <c r="D10" s="99">
        <f t="shared" si="1"/>
        <v>15.44680114827097</v>
      </c>
      <c r="E10" s="99"/>
      <c r="F10" s="99">
        <f t="shared" si="2"/>
        <v>0</v>
      </c>
      <c r="G10" s="99"/>
    </row>
    <row r="11" spans="1:11">
      <c r="A11" s="99" t="s">
        <v>5045</v>
      </c>
      <c r="B11" s="99">
        <v>2635379034</v>
      </c>
      <c r="C11" s="99">
        <v>85</v>
      </c>
      <c r="D11" s="99">
        <f t="shared" si="1"/>
        <v>2.097836668677195</v>
      </c>
      <c r="E11" s="99"/>
      <c r="F11" s="99">
        <f t="shared" si="2"/>
        <v>0</v>
      </c>
      <c r="G11" s="99"/>
    </row>
    <row r="12" spans="1:11">
      <c r="A12" s="99" t="s">
        <v>5046</v>
      </c>
      <c r="B12" s="99">
        <v>1886721602</v>
      </c>
      <c r="C12" s="99">
        <v>240</v>
      </c>
      <c r="D12" s="99">
        <f t="shared" si="1"/>
        <v>4.2406138132973146</v>
      </c>
      <c r="E12" s="99"/>
      <c r="F12" s="99">
        <f t="shared" si="2"/>
        <v>0</v>
      </c>
      <c r="G12" s="99"/>
    </row>
    <row r="13" spans="1:11">
      <c r="A13" s="99" t="s">
        <v>5047</v>
      </c>
      <c r="B13" s="99">
        <v>1630533748</v>
      </c>
      <c r="C13" s="99">
        <v>120</v>
      </c>
      <c r="D13" s="99">
        <f t="shared" si="1"/>
        <v>1.832401751134517</v>
      </c>
      <c r="E13" s="99"/>
      <c r="F13" s="99">
        <f t="shared" si="2"/>
        <v>0</v>
      </c>
      <c r="G13" s="99"/>
    </row>
    <row r="14" spans="1:11">
      <c r="A14" s="99" t="s">
        <v>4395</v>
      </c>
      <c r="B14" s="99">
        <v>813533684</v>
      </c>
      <c r="C14" s="99">
        <v>1460</v>
      </c>
      <c r="D14" s="99">
        <f t="shared" si="1"/>
        <v>11.123412816690907</v>
      </c>
      <c r="E14" s="99"/>
      <c r="F14" s="99">
        <f t="shared" si="2"/>
        <v>0</v>
      </c>
      <c r="G14" s="99"/>
    </row>
    <row r="15" spans="1:11">
      <c r="A15" s="99" t="s">
        <v>5048</v>
      </c>
      <c r="B15" s="99">
        <v>236958025</v>
      </c>
      <c r="C15" s="99">
        <v>220</v>
      </c>
      <c r="D15" s="99">
        <f t="shared" si="1"/>
        <v>0.48820673040015516</v>
      </c>
      <c r="E15" s="99"/>
      <c r="F15" s="99">
        <f t="shared" si="2"/>
        <v>0</v>
      </c>
      <c r="G15" s="99"/>
    </row>
    <row r="16" spans="1:11">
      <c r="A16" s="99"/>
      <c r="B16" s="99"/>
      <c r="C16" s="99"/>
      <c r="D16" s="99">
        <f t="shared" si="1"/>
        <v>0</v>
      </c>
      <c r="E16" s="99"/>
      <c r="F16" s="99">
        <f t="shared" si="2"/>
        <v>0</v>
      </c>
      <c r="G16" s="99"/>
    </row>
    <row r="17" spans="1:7">
      <c r="A17" s="99"/>
      <c r="B17" s="99"/>
      <c r="C17" s="99"/>
      <c r="D17" s="99">
        <f t="shared" si="1"/>
        <v>0</v>
      </c>
      <c r="E17" s="99"/>
      <c r="F17" s="99">
        <f t="shared" si="2"/>
        <v>0</v>
      </c>
      <c r="G17" s="99"/>
    </row>
    <row r="18" spans="1:7">
      <c r="A18" s="99"/>
      <c r="B18" s="99"/>
      <c r="C18" s="99"/>
      <c r="D18" s="99">
        <f t="shared" si="1"/>
        <v>0</v>
      </c>
      <c r="E18" s="99"/>
      <c r="F18" s="99">
        <f t="shared" si="2"/>
        <v>0</v>
      </c>
      <c r="G18" s="99"/>
    </row>
    <row r="19" spans="1:7">
      <c r="A19" s="99"/>
      <c r="B19" s="99"/>
      <c r="C19" s="99"/>
      <c r="D19" s="99">
        <f t="shared" si="1"/>
        <v>0</v>
      </c>
      <c r="E19" s="99"/>
      <c r="F19" s="99">
        <f t="shared" si="2"/>
        <v>0</v>
      </c>
      <c r="G19" s="99"/>
    </row>
    <row r="20" spans="1:7">
      <c r="A20" s="99"/>
      <c r="B20" s="99"/>
      <c r="C20" s="99"/>
      <c r="D20" s="99"/>
      <c r="E20" s="99"/>
      <c r="F20" s="99"/>
      <c r="G20" s="99"/>
    </row>
    <row r="21" spans="1:7">
      <c r="A21" s="99"/>
      <c r="B21" s="99"/>
      <c r="C21" s="99"/>
      <c r="D21" s="99">
        <f>SUM(D2:D15)</f>
        <v>67.287209766957474</v>
      </c>
      <c r="E21" s="99"/>
      <c r="F21" s="99"/>
      <c r="G21" s="99"/>
    </row>
    <row r="22" spans="1:7">
      <c r="A22" s="99"/>
      <c r="B22" s="99"/>
      <c r="C22" s="99"/>
      <c r="D22" s="99"/>
      <c r="E22" s="99"/>
      <c r="F22" s="99"/>
      <c r="G22" s="99"/>
    </row>
    <row r="23" spans="1:7">
      <c r="A23" s="99"/>
      <c r="B23" s="99"/>
      <c r="C23" s="99"/>
      <c r="D23" s="99"/>
      <c r="E23" s="99"/>
      <c r="F23" s="99"/>
      <c r="G23" s="99"/>
    </row>
    <row r="24" spans="1:7">
      <c r="A24" s="99"/>
      <c r="B24" s="99"/>
      <c r="C24" s="99"/>
      <c r="D24" s="99"/>
      <c r="E24" s="99"/>
      <c r="F24" s="99"/>
      <c r="G24" s="9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" sqref="B3"/>
    </sheetView>
  </sheetViews>
  <sheetFormatPr defaultRowHeight="15"/>
  <cols>
    <col min="1" max="1" width="11.5703125" customWidth="1"/>
    <col min="5" max="5" width="10.5703125" customWidth="1"/>
    <col min="6" max="6" width="78.85546875" customWidth="1"/>
  </cols>
  <sheetData>
    <row r="1" spans="1:6">
      <c r="A1" t="s">
        <v>4541</v>
      </c>
      <c r="B1" t="s">
        <v>950</v>
      </c>
      <c r="C1" t="s">
        <v>4599</v>
      </c>
      <c r="D1" t="s">
        <v>5011</v>
      </c>
      <c r="E1" t="s">
        <v>5012</v>
      </c>
      <c r="F1" t="s">
        <v>8</v>
      </c>
    </row>
    <row r="2" spans="1:6">
      <c r="A2" t="s">
        <v>5015</v>
      </c>
      <c r="B2">
        <v>237</v>
      </c>
      <c r="C2">
        <v>281</v>
      </c>
      <c r="D2">
        <f>B2/C2</f>
        <v>0.84341637010676151</v>
      </c>
      <c r="E2" t="s">
        <v>5016</v>
      </c>
      <c r="F2" t="s">
        <v>5017</v>
      </c>
    </row>
    <row r="3" spans="1:6">
      <c r="A3" t="s">
        <v>4539</v>
      </c>
      <c r="B3">
        <v>134</v>
      </c>
      <c r="C3">
        <v>193</v>
      </c>
      <c r="D3" s="96">
        <f t="shared" ref="D3:D21" si="0">B3/C3</f>
        <v>0.69430051813471505</v>
      </c>
      <c r="E3" t="s">
        <v>5016</v>
      </c>
      <c r="F3" s="96" t="s">
        <v>5017</v>
      </c>
    </row>
    <row r="4" spans="1:6">
      <c r="A4" t="s">
        <v>5018</v>
      </c>
      <c r="B4">
        <v>195</v>
      </c>
      <c r="C4">
        <v>73</v>
      </c>
      <c r="D4" s="96">
        <f t="shared" si="0"/>
        <v>2.6712328767123288</v>
      </c>
      <c r="E4" t="s">
        <v>5019</v>
      </c>
      <c r="F4" t="s">
        <v>5020</v>
      </c>
    </row>
    <row r="5" spans="1:6">
      <c r="A5" t="s">
        <v>5021</v>
      </c>
      <c r="B5">
        <v>1</v>
      </c>
      <c r="C5">
        <v>1</v>
      </c>
      <c r="D5" s="96">
        <f t="shared" si="0"/>
        <v>1</v>
      </c>
      <c r="E5" t="s">
        <v>5019</v>
      </c>
      <c r="F5" t="s">
        <v>5022</v>
      </c>
    </row>
    <row r="6" spans="1:6">
      <c r="A6" t="s">
        <v>4580</v>
      </c>
      <c r="B6">
        <v>163</v>
      </c>
      <c r="C6">
        <v>232</v>
      </c>
      <c r="D6" s="96">
        <f t="shared" si="0"/>
        <v>0.70258620689655171</v>
      </c>
      <c r="F6" s="96" t="s">
        <v>5017</v>
      </c>
    </row>
    <row r="7" spans="1:6">
      <c r="A7" t="s">
        <v>5023</v>
      </c>
      <c r="B7">
        <v>247</v>
      </c>
      <c r="C7">
        <v>250</v>
      </c>
      <c r="D7" s="96">
        <f t="shared" si="0"/>
        <v>0.98799999999999999</v>
      </c>
    </row>
    <row r="8" spans="1:6">
      <c r="A8" t="s">
        <v>5024</v>
      </c>
      <c r="B8">
        <v>335</v>
      </c>
      <c r="C8">
        <v>141</v>
      </c>
      <c r="D8" s="96">
        <f t="shared" si="0"/>
        <v>2.375886524822695</v>
      </c>
      <c r="F8" s="96" t="s">
        <v>5022</v>
      </c>
    </row>
    <row r="9" spans="1:6">
      <c r="A9" t="s">
        <v>4867</v>
      </c>
      <c r="B9">
        <v>150</v>
      </c>
      <c r="C9">
        <v>240</v>
      </c>
      <c r="D9" s="96">
        <f t="shared" si="0"/>
        <v>0.625</v>
      </c>
      <c r="F9" t="s">
        <v>5025</v>
      </c>
    </row>
    <row r="10" spans="1:6">
      <c r="A10" t="s">
        <v>5026</v>
      </c>
      <c r="B10">
        <v>187</v>
      </c>
      <c r="C10">
        <v>208</v>
      </c>
      <c r="D10" s="96">
        <f t="shared" si="0"/>
        <v>0.89903846153846156</v>
      </c>
      <c r="F10" t="s">
        <v>5016</v>
      </c>
    </row>
    <row r="11" spans="1:6">
      <c r="A11" t="s">
        <v>5027</v>
      </c>
      <c r="B11">
        <v>412</v>
      </c>
      <c r="C11">
        <v>183</v>
      </c>
      <c r="D11" s="96">
        <f t="shared" si="0"/>
        <v>2.2513661202185791</v>
      </c>
      <c r="F11" s="96" t="s">
        <v>5022</v>
      </c>
    </row>
    <row r="12" spans="1:6">
      <c r="C12">
        <v>1</v>
      </c>
      <c r="D12" s="96">
        <f t="shared" si="0"/>
        <v>0</v>
      </c>
    </row>
    <row r="13" spans="1:6">
      <c r="C13">
        <v>1</v>
      </c>
      <c r="D13" s="96">
        <f t="shared" si="0"/>
        <v>0</v>
      </c>
    </row>
    <row r="14" spans="1:6">
      <c r="C14">
        <v>1</v>
      </c>
      <c r="D14" s="96">
        <f t="shared" si="0"/>
        <v>0</v>
      </c>
    </row>
    <row r="15" spans="1:6">
      <c r="C15">
        <v>1</v>
      </c>
      <c r="D15" s="96">
        <f t="shared" si="0"/>
        <v>0</v>
      </c>
    </row>
    <row r="16" spans="1:6">
      <c r="C16">
        <v>1</v>
      </c>
      <c r="D16" s="96">
        <f t="shared" si="0"/>
        <v>0</v>
      </c>
    </row>
    <row r="17" spans="1:6">
      <c r="C17">
        <v>1</v>
      </c>
      <c r="D17" s="96">
        <f t="shared" si="0"/>
        <v>0</v>
      </c>
    </row>
    <row r="18" spans="1:6">
      <c r="C18">
        <v>1</v>
      </c>
      <c r="D18" s="96">
        <f t="shared" si="0"/>
        <v>0</v>
      </c>
    </row>
    <row r="19" spans="1:6">
      <c r="C19">
        <v>1</v>
      </c>
      <c r="D19" s="96">
        <f t="shared" si="0"/>
        <v>0</v>
      </c>
    </row>
    <row r="20" spans="1:6">
      <c r="C20">
        <v>1</v>
      </c>
      <c r="D20" s="96">
        <f t="shared" si="0"/>
        <v>0</v>
      </c>
    </row>
    <row r="21" spans="1:6">
      <c r="A21" t="s">
        <v>5010</v>
      </c>
      <c r="B21">
        <v>113</v>
      </c>
      <c r="C21">
        <v>215</v>
      </c>
      <c r="D21" s="96">
        <f t="shared" si="0"/>
        <v>0.52558139534883719</v>
      </c>
      <c r="E21" t="s">
        <v>5013</v>
      </c>
      <c r="F21" t="s">
        <v>5014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31" workbookViewId="0">
      <selection activeCell="E57" sqref="E5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4938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4940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4934</v>
      </c>
      <c r="B4" s="18">
        <v>-960200</v>
      </c>
      <c r="C4" s="18">
        <v>0</v>
      </c>
      <c r="D4" s="113">
        <f t="shared" si="0"/>
        <v>-960200</v>
      </c>
      <c r="E4" s="99" t="s">
        <v>4941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4820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4820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4820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4831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4831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4831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4835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4836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4836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4841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4841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4856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4894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4898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4898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4898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4900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4900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4901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4901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4909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4920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4920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4920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4942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4939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4944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4948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4959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4960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4968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4971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>
        <v>70767</v>
      </c>
      <c r="E49" s="122" t="s">
        <v>4987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>
        <v>10000</v>
      </c>
      <c r="E50" s="122" t="s">
        <v>4989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>
        <v>-40000</v>
      </c>
      <c r="E51" s="122" t="s">
        <v>4990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>
        <v>2000000</v>
      </c>
      <c r="E52" s="122" t="s">
        <v>5006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>
        <v>160000</v>
      </c>
      <c r="E53" s="122" t="s">
        <v>5009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>
        <v>-224012</v>
      </c>
      <c r="E54" s="122" t="s">
        <v>5049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>
        <v>1100000</v>
      </c>
      <c r="E55" s="122" t="s">
        <v>5050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>
        <v>1465000</v>
      </c>
      <c r="E56" s="122" t="s">
        <v>5060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4651124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-66850</v>
      </c>
      <c r="C30" s="18">
        <v>0</v>
      </c>
      <c r="D30" s="113">
        <f t="shared" si="0"/>
        <v>-66850</v>
      </c>
      <c r="E30" s="19" t="s">
        <v>4632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4631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4637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4637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4653</v>
      </c>
      <c r="B5" s="18">
        <v>-200000</v>
      </c>
      <c r="C5" s="18">
        <v>0</v>
      </c>
      <c r="D5" s="113">
        <f t="shared" si="0"/>
        <v>-200000</v>
      </c>
      <c r="E5" s="20" t="s">
        <v>4650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4664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4670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4670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4670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4670</v>
      </c>
      <c r="B10" s="18">
        <v>-51400</v>
      </c>
      <c r="C10" s="18">
        <v>0</v>
      </c>
      <c r="D10" s="113">
        <f t="shared" si="0"/>
        <v>-51400</v>
      </c>
      <c r="E10" s="19" t="s">
        <v>4677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4680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4680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4705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4705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4705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4710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4725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4731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4731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4742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4734</v>
      </c>
      <c r="B22" s="18">
        <v>-324747</v>
      </c>
      <c r="C22" s="18">
        <v>0</v>
      </c>
      <c r="D22" s="113">
        <f t="shared" si="0"/>
        <v>-324747</v>
      </c>
      <c r="E22" s="19" t="s">
        <v>4743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4752</v>
      </c>
      <c r="B23" s="18">
        <v>-297992</v>
      </c>
      <c r="C23" s="18">
        <v>0</v>
      </c>
      <c r="D23" s="113">
        <f t="shared" si="0"/>
        <v>-297992</v>
      </c>
      <c r="E23" s="19" t="s">
        <v>4753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4761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4689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4708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4740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4741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4776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4777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4771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4784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4808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4820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4820</v>
      </c>
      <c r="B6" s="18">
        <v>-1866154</v>
      </c>
      <c r="C6" s="18">
        <v>0</v>
      </c>
      <c r="D6" s="113">
        <f t="shared" si="0"/>
        <v>-1866154</v>
      </c>
      <c r="E6" s="19" t="s">
        <v>4829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4820</v>
      </c>
      <c r="B7" s="18">
        <v>-36600</v>
      </c>
      <c r="C7" s="18">
        <v>0</v>
      </c>
      <c r="D7" s="113">
        <f t="shared" si="0"/>
        <v>-36600</v>
      </c>
      <c r="E7" s="19" t="s">
        <v>4830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4831</v>
      </c>
      <c r="B8" s="18">
        <v>-492000</v>
      </c>
      <c r="C8" s="18">
        <v>0</v>
      </c>
      <c r="D8" s="113">
        <f t="shared" si="0"/>
        <v>-492000</v>
      </c>
      <c r="E8" s="19" t="s">
        <v>4832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4831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4831</v>
      </c>
      <c r="B10" s="18">
        <v>-40000</v>
      </c>
      <c r="C10" s="18">
        <v>0</v>
      </c>
      <c r="D10" s="113">
        <f t="shared" si="0"/>
        <v>-40000</v>
      </c>
      <c r="E10" s="19" t="s">
        <v>4834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4835</v>
      </c>
      <c r="B11" s="18">
        <v>-66000</v>
      </c>
      <c r="C11" s="18">
        <v>0</v>
      </c>
      <c r="D11" s="113">
        <f t="shared" si="0"/>
        <v>-66000</v>
      </c>
      <c r="E11" s="19" t="s">
        <v>4834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4836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4836</v>
      </c>
      <c r="B13" s="18">
        <v>-200500</v>
      </c>
      <c r="C13" s="18">
        <v>0</v>
      </c>
      <c r="D13" s="113">
        <f t="shared" si="0"/>
        <v>-200500</v>
      </c>
      <c r="E13" s="20" t="s">
        <v>4837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4841</v>
      </c>
      <c r="B14" s="18">
        <v>1563000</v>
      </c>
      <c r="C14" s="18">
        <v>0</v>
      </c>
      <c r="D14" s="113">
        <f t="shared" si="0"/>
        <v>1563000</v>
      </c>
      <c r="E14" s="20" t="s">
        <v>4847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4841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4856</v>
      </c>
      <c r="B16" s="18">
        <v>-20000</v>
      </c>
      <c r="C16" s="18">
        <v>0</v>
      </c>
      <c r="D16" s="113">
        <f t="shared" si="0"/>
        <v>-20000</v>
      </c>
      <c r="E16" s="20" t="s">
        <v>4861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4872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4877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4883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4894</v>
      </c>
      <c r="B20" s="18">
        <v>400000</v>
      </c>
      <c r="C20" s="18">
        <v>0</v>
      </c>
      <c r="D20" s="113">
        <f t="shared" si="0"/>
        <v>400000</v>
      </c>
      <c r="E20" s="19" t="s">
        <v>4896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4898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4898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4898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4900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4900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4901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4901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4909</v>
      </c>
      <c r="B28" s="18">
        <v>433375</v>
      </c>
      <c r="C28" s="18">
        <v>0</v>
      </c>
      <c r="D28" s="113">
        <f t="shared" si="0"/>
        <v>433375</v>
      </c>
      <c r="E28" s="19" t="s">
        <v>4914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4920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4920</v>
      </c>
      <c r="B30" s="18">
        <v>-300000</v>
      </c>
      <c r="C30" s="18">
        <v>0</v>
      </c>
      <c r="D30" s="113">
        <f t="shared" si="0"/>
        <v>-300000</v>
      </c>
      <c r="E30" s="19" t="s">
        <v>4923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4920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4931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4628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4782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4796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4797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4807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4818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4823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4828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4829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4838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4839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4842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4848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4851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4855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4859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4863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4876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4884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4888</v>
      </c>
      <c r="F69" s="96"/>
      <c r="G69" s="96"/>
      <c r="H69" s="96"/>
      <c r="I69" s="96"/>
    </row>
    <row r="70" spans="1:22">
      <c r="D70" s="18">
        <v>-400000</v>
      </c>
      <c r="E70" s="122" t="s">
        <v>4897</v>
      </c>
      <c r="G70" t="s">
        <v>25</v>
      </c>
    </row>
    <row r="71" spans="1:22">
      <c r="D71" s="18">
        <v>463200</v>
      </c>
      <c r="E71" s="122" t="s">
        <v>4899</v>
      </c>
    </row>
    <row r="72" spans="1:22">
      <c r="D72" s="18">
        <v>2000000</v>
      </c>
      <c r="E72" s="96" t="s">
        <v>4902</v>
      </c>
    </row>
    <row r="73" spans="1:22">
      <c r="D73" s="18">
        <v>-280000</v>
      </c>
      <c r="E73" t="s">
        <v>4906</v>
      </c>
    </row>
    <row r="74" spans="1:22">
      <c r="D74" s="18">
        <v>-200000</v>
      </c>
      <c r="E74" s="96" t="s">
        <v>4915</v>
      </c>
    </row>
    <row r="75" spans="1:22">
      <c r="D75" s="18">
        <v>-2000000</v>
      </c>
      <c r="E75" s="96" t="s">
        <v>4921</v>
      </c>
    </row>
    <row r="76" spans="1:22">
      <c r="D76" s="18">
        <v>92800</v>
      </c>
      <c r="E76" s="96" t="s">
        <v>4927</v>
      </c>
    </row>
    <row r="77" spans="1:22">
      <c r="D77" s="18">
        <v>1417727</v>
      </c>
      <c r="E77" s="96" t="s">
        <v>4931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4628</v>
      </c>
      <c r="B293" s="18">
        <v>-96850</v>
      </c>
      <c r="C293" s="18">
        <v>0</v>
      </c>
      <c r="D293" s="18">
        <f t="shared" si="18"/>
        <v>-96850</v>
      </c>
      <c r="E293" s="99" t="s">
        <v>4633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4637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4637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4653</v>
      </c>
      <c r="B296" s="18">
        <v>-200000</v>
      </c>
      <c r="C296" s="18">
        <v>0</v>
      </c>
      <c r="D296" s="18">
        <f t="shared" si="18"/>
        <v>-200000</v>
      </c>
      <c r="E296" s="99" t="s">
        <v>4654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4664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4670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4670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4670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4670</v>
      </c>
      <c r="B301" s="18">
        <v>-51400</v>
      </c>
      <c r="C301" s="18">
        <v>0</v>
      </c>
      <c r="D301" s="18">
        <f t="shared" si="18"/>
        <v>-51400</v>
      </c>
      <c r="E301" s="99" t="s">
        <v>4677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4680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4680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4705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4705</v>
      </c>
      <c r="B305" s="18">
        <v>-276773</v>
      </c>
      <c r="C305" s="18">
        <v>0</v>
      </c>
      <c r="D305" s="18">
        <f t="shared" si="18"/>
        <v>-276773</v>
      </c>
      <c r="E305" s="99" t="s">
        <v>4709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4710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4725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4731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4731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4742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4734</v>
      </c>
      <c r="B312" s="18">
        <v>-324747</v>
      </c>
      <c r="C312" s="18">
        <v>0</v>
      </c>
      <c r="D312" s="18">
        <f t="shared" si="18"/>
        <v>-324747</v>
      </c>
      <c r="E312" s="99" t="s">
        <v>4743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4752</v>
      </c>
      <c r="B313" s="18">
        <v>-297992</v>
      </c>
      <c r="C313" s="18">
        <v>0</v>
      </c>
      <c r="D313" s="18">
        <f t="shared" si="18"/>
        <v>-297992</v>
      </c>
      <c r="E313" s="99" t="s">
        <v>4753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4761</v>
      </c>
      <c r="B315" s="18">
        <v>-40000</v>
      </c>
      <c r="C315" s="18">
        <v>0</v>
      </c>
      <c r="D315" s="18">
        <f t="shared" si="18"/>
        <v>-40000</v>
      </c>
      <c r="E315" s="99" t="s">
        <v>4778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4784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4808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4820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4820</v>
      </c>
      <c r="B319" s="18">
        <v>-1866154</v>
      </c>
      <c r="C319" s="18">
        <v>0</v>
      </c>
      <c r="D319" s="18">
        <f t="shared" si="18"/>
        <v>-1866154</v>
      </c>
      <c r="E319" s="19" t="s">
        <v>4829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4820</v>
      </c>
      <c r="B320" s="18">
        <v>-36600</v>
      </c>
      <c r="C320" s="18">
        <v>0</v>
      </c>
      <c r="D320" s="18">
        <f t="shared" si="18"/>
        <v>-36600</v>
      </c>
      <c r="E320" s="99" t="s">
        <v>4830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4831</v>
      </c>
      <c r="B321" s="18">
        <v>-492000</v>
      </c>
      <c r="C321" s="18">
        <v>0</v>
      </c>
      <c r="D321" s="18">
        <f t="shared" si="18"/>
        <v>-492000</v>
      </c>
      <c r="E321" s="99" t="s">
        <v>4832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4831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4831</v>
      </c>
      <c r="B323" s="18">
        <v>-40000</v>
      </c>
      <c r="C323" s="18">
        <v>0</v>
      </c>
      <c r="D323" s="18">
        <f t="shared" si="18"/>
        <v>-40000</v>
      </c>
      <c r="E323" s="99" t="s">
        <v>4834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4835</v>
      </c>
      <c r="B324" s="18">
        <v>-66000</v>
      </c>
      <c r="C324" s="18">
        <v>0</v>
      </c>
      <c r="D324" s="18">
        <f t="shared" si="18"/>
        <v>-66000</v>
      </c>
      <c r="E324" s="99" t="s">
        <v>4834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4836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4836</v>
      </c>
      <c r="B326" s="18">
        <v>-200500</v>
      </c>
      <c r="C326" s="18">
        <v>0</v>
      </c>
      <c r="D326" s="18">
        <f t="shared" si="18"/>
        <v>-200500</v>
      </c>
      <c r="E326" s="99" t="s">
        <v>4837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4841</v>
      </c>
      <c r="B327" s="18">
        <v>1563000</v>
      </c>
      <c r="C327" s="18">
        <v>0</v>
      </c>
      <c r="D327" s="18">
        <f t="shared" si="18"/>
        <v>1563000</v>
      </c>
      <c r="E327" s="99" t="s">
        <v>4847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4841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4856</v>
      </c>
      <c r="B329" s="18">
        <v>-20000</v>
      </c>
      <c r="C329" s="18">
        <v>0</v>
      </c>
      <c r="D329" s="18">
        <f t="shared" si="18"/>
        <v>-20000</v>
      </c>
      <c r="E329" s="99" t="s">
        <v>4861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4872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4878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4883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4894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4898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4898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4898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4900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4900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4901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4901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4909</v>
      </c>
      <c r="B341" s="18">
        <v>433375</v>
      </c>
      <c r="C341" s="18">
        <v>0</v>
      </c>
      <c r="D341" s="18">
        <f t="shared" si="18"/>
        <v>433375</v>
      </c>
      <c r="E341" s="99" t="s">
        <v>4914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4920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4920</v>
      </c>
      <c r="B343" s="18">
        <v>-300000</v>
      </c>
      <c r="C343" s="18">
        <v>0</v>
      </c>
      <c r="D343" s="18">
        <f t="shared" si="18"/>
        <v>-300000</v>
      </c>
      <c r="E343" s="99" t="s">
        <v>4923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4920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4931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4940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4934</v>
      </c>
      <c r="B347" s="18">
        <v>-960200</v>
      </c>
      <c r="C347" s="18">
        <v>0</v>
      </c>
      <c r="D347" s="18">
        <f t="shared" si="18"/>
        <v>-960200</v>
      </c>
      <c r="E347" s="99" t="s">
        <v>4941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54" t="s">
        <v>1089</v>
      </c>
      <c r="R21" s="254"/>
      <c r="S21" s="254"/>
      <c r="T21" s="254"/>
      <c r="U21" s="96"/>
      <c r="V21" s="96"/>
      <c r="W21" s="96"/>
      <c r="X21" s="96"/>
      <c r="Y21" s="96"/>
      <c r="Z21" s="96"/>
    </row>
    <row r="22" spans="5:35">
      <c r="O22" s="99"/>
      <c r="P22" s="99"/>
      <c r="Q22" s="254"/>
      <c r="R22" s="254"/>
      <c r="S22" s="254"/>
      <c r="T22" s="254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55" t="s">
        <v>1090</v>
      </c>
      <c r="R23" s="256" t="s">
        <v>1091</v>
      </c>
      <c r="S23" s="255" t="s">
        <v>1092</v>
      </c>
      <c r="T23" s="257" t="s">
        <v>1093</v>
      </c>
      <c r="AD23" t="s">
        <v>25</v>
      </c>
    </row>
    <row r="24" spans="5:35">
      <c r="O24" s="99"/>
      <c r="P24" s="99"/>
      <c r="Q24" s="255"/>
      <c r="R24" s="256"/>
      <c r="S24" s="255"/>
      <c r="T24" s="257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4831</v>
      </c>
      <c r="B5" t="s">
        <v>4849</v>
      </c>
    </row>
    <row r="6" spans="1:3">
      <c r="A6" t="s">
        <v>4841</v>
      </c>
      <c r="B6" t="s">
        <v>4850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C46" sqref="C46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4757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4748</v>
      </c>
      <c r="B2" s="95">
        <v>10300</v>
      </c>
      <c r="C2" s="95">
        <v>0</v>
      </c>
      <c r="D2" s="99" t="s">
        <v>4758</v>
      </c>
      <c r="E2" s="96"/>
      <c r="F2" s="96"/>
      <c r="G2" s="96"/>
    </row>
    <row r="3" spans="1:7">
      <c r="A3" s="99" t="s">
        <v>4748</v>
      </c>
      <c r="B3" s="95">
        <v>0</v>
      </c>
      <c r="C3" s="95">
        <v>5500</v>
      </c>
      <c r="D3" s="99" t="s">
        <v>4759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4771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4787</v>
      </c>
      <c r="B6" s="95">
        <v>0</v>
      </c>
      <c r="C6" s="95">
        <v>3000</v>
      </c>
      <c r="D6" s="99" t="s">
        <v>4791</v>
      </c>
      <c r="E6" s="96"/>
      <c r="F6" s="96"/>
      <c r="G6" s="96"/>
    </row>
    <row r="7" spans="1:7">
      <c r="A7" s="99" t="s">
        <v>4787</v>
      </c>
      <c r="B7" s="95">
        <v>9200</v>
      </c>
      <c r="C7" s="95">
        <v>0</v>
      </c>
      <c r="D7" s="99" t="s">
        <v>4758</v>
      </c>
      <c r="E7" s="96"/>
      <c r="F7" s="96"/>
      <c r="G7" s="96"/>
    </row>
    <row r="8" spans="1:7">
      <c r="A8" s="99" t="s">
        <v>4789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4799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4799</v>
      </c>
      <c r="B10" s="95">
        <v>10200</v>
      </c>
      <c r="C10" s="95">
        <v>0</v>
      </c>
      <c r="D10" s="99" t="s">
        <v>4758</v>
      </c>
      <c r="E10" s="96"/>
      <c r="F10" s="96"/>
      <c r="G10" s="96"/>
    </row>
    <row r="11" spans="1:7">
      <c r="A11" s="99" t="s">
        <v>4820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4840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4841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4875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4856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4758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4880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4883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4886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4894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4894</v>
      </c>
      <c r="B22" s="95">
        <v>9600</v>
      </c>
      <c r="C22" s="95">
        <v>0</v>
      </c>
      <c r="D22" s="99" t="s">
        <v>4758</v>
      </c>
      <c r="E22" s="96"/>
      <c r="F22" s="96"/>
      <c r="G22" s="96"/>
      <c r="I22" t="s">
        <v>25</v>
      </c>
    </row>
    <row r="23" spans="1:9">
      <c r="A23" s="99" t="s">
        <v>4901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4909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4920</v>
      </c>
      <c r="B25" s="95">
        <v>0</v>
      </c>
      <c r="C25" s="95">
        <v>1000</v>
      </c>
      <c r="D25" s="99" t="s">
        <v>315</v>
      </c>
    </row>
    <row r="26" spans="1:9">
      <c r="A26" s="99" t="s">
        <v>4963</v>
      </c>
      <c r="B26" s="95">
        <v>0</v>
      </c>
      <c r="C26" s="95">
        <v>12000</v>
      </c>
      <c r="D26" s="99" t="s">
        <v>4978</v>
      </c>
    </row>
    <row r="27" spans="1:9">
      <c r="A27" s="99" t="s">
        <v>4965</v>
      </c>
      <c r="B27" s="95">
        <v>0</v>
      </c>
      <c r="C27" s="95">
        <v>1000</v>
      </c>
      <c r="D27" s="99" t="s">
        <v>315</v>
      </c>
    </row>
    <row r="28" spans="1:9">
      <c r="A28" s="99" t="s">
        <v>4979</v>
      </c>
      <c r="B28" s="95">
        <v>0</v>
      </c>
      <c r="C28" s="95">
        <v>1000</v>
      </c>
      <c r="D28" s="99" t="s">
        <v>315</v>
      </c>
    </row>
    <row r="29" spans="1:9">
      <c r="A29" s="99" t="s">
        <v>4984</v>
      </c>
      <c r="B29" s="95">
        <v>0</v>
      </c>
      <c r="C29" s="95">
        <v>1000</v>
      </c>
      <c r="D29" s="99" t="s">
        <v>315</v>
      </c>
    </row>
    <row r="30" spans="1:9">
      <c r="A30" s="99" t="s">
        <v>4985</v>
      </c>
      <c r="B30" s="95">
        <v>0</v>
      </c>
      <c r="C30" s="95">
        <v>5500</v>
      </c>
      <c r="D30" s="99" t="s">
        <v>4759</v>
      </c>
    </row>
    <row r="31" spans="1:9">
      <c r="A31" s="99" t="s">
        <v>4985</v>
      </c>
      <c r="B31" s="95">
        <v>11000</v>
      </c>
      <c r="C31" s="95">
        <v>0</v>
      </c>
      <c r="D31" s="99" t="s">
        <v>4758</v>
      </c>
    </row>
    <row r="32" spans="1:9">
      <c r="A32" s="99" t="s">
        <v>4994</v>
      </c>
      <c r="B32" s="95">
        <v>0</v>
      </c>
      <c r="C32" s="95">
        <v>1000</v>
      </c>
      <c r="D32" s="99" t="s">
        <v>315</v>
      </c>
      <c r="H32" t="s">
        <v>25</v>
      </c>
    </row>
    <row r="33" spans="1:10">
      <c r="A33" s="99" t="s">
        <v>4998</v>
      </c>
      <c r="B33" s="95">
        <v>0</v>
      </c>
      <c r="C33" s="95">
        <v>1000</v>
      </c>
      <c r="D33" s="99" t="s">
        <v>315</v>
      </c>
      <c r="H33" t="s">
        <v>25</v>
      </c>
    </row>
    <row r="34" spans="1:10">
      <c r="A34" s="99" t="s">
        <v>5001</v>
      </c>
      <c r="B34" s="95">
        <v>0</v>
      </c>
      <c r="C34" s="95">
        <v>1000</v>
      </c>
      <c r="D34" s="99" t="s">
        <v>315</v>
      </c>
    </row>
    <row r="35" spans="1:10">
      <c r="A35" s="99" t="s">
        <v>5002</v>
      </c>
      <c r="B35" s="95">
        <v>0</v>
      </c>
      <c r="C35" s="95">
        <v>1000</v>
      </c>
      <c r="D35" s="99" t="s">
        <v>315</v>
      </c>
      <c r="J35" t="s">
        <v>25</v>
      </c>
    </row>
    <row r="36" spans="1:10">
      <c r="A36" s="99" t="s">
        <v>5007</v>
      </c>
      <c r="B36" s="95">
        <v>1000</v>
      </c>
      <c r="C36" s="95">
        <v>0</v>
      </c>
      <c r="D36" s="99" t="s">
        <v>315</v>
      </c>
    </row>
    <row r="37" spans="1:10">
      <c r="A37" s="99" t="s">
        <v>5007</v>
      </c>
      <c r="B37" s="95">
        <v>0</v>
      </c>
      <c r="C37" s="95">
        <v>11200</v>
      </c>
      <c r="D37" s="99" t="s">
        <v>4758</v>
      </c>
    </row>
    <row r="38" spans="1:10">
      <c r="A38" s="99"/>
      <c r="B38" s="95"/>
      <c r="C38" s="95"/>
      <c r="D38" s="99"/>
    </row>
    <row r="39" spans="1:10">
      <c r="A39" s="99"/>
      <c r="B39" s="95"/>
      <c r="C39" s="95"/>
      <c r="D39" s="99"/>
    </row>
    <row r="40" spans="1:10">
      <c r="A40" s="99"/>
      <c r="B40" s="95"/>
      <c r="C40" s="95"/>
      <c r="D40" s="99"/>
    </row>
    <row r="41" spans="1:10">
      <c r="A41" s="99"/>
      <c r="B41" s="95"/>
      <c r="C41" s="95"/>
      <c r="D41" s="99"/>
    </row>
    <row r="42" spans="1:10">
      <c r="A42" s="99"/>
      <c r="B42" s="95"/>
      <c r="C42" s="95"/>
      <c r="D42" s="99"/>
    </row>
    <row r="43" spans="1:10">
      <c r="A43" s="99"/>
      <c r="B43" s="95"/>
      <c r="C43" s="95"/>
      <c r="D43" s="99"/>
    </row>
    <row r="44" spans="1:10">
      <c r="A44" s="99"/>
      <c r="B44" s="99"/>
      <c r="C44" s="99"/>
      <c r="D44" s="99"/>
    </row>
    <row r="45" spans="1:10">
      <c r="A45" s="99"/>
      <c r="B45" s="99"/>
      <c r="C45" s="99"/>
      <c r="D45" s="99"/>
    </row>
    <row r="46" spans="1:10">
      <c r="A46" s="99" t="s">
        <v>6</v>
      </c>
      <c r="B46" s="95">
        <f>SUM(B2:B45)</f>
        <v>61500</v>
      </c>
      <c r="C46" s="95">
        <f>SUM(C2:C45)</f>
        <v>61700</v>
      </c>
      <c r="D46" s="99"/>
    </row>
    <row r="48" spans="1:10">
      <c r="A48" s="23" t="s">
        <v>4789</v>
      </c>
      <c r="B48" s="226">
        <v>6700</v>
      </c>
      <c r="C48" s="226">
        <v>0</v>
      </c>
      <c r="D48" s="23" t="s">
        <v>4792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4761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4771</v>
      </c>
      <c r="B75" s="113">
        <v>-20000</v>
      </c>
      <c r="C75" s="99" t="s">
        <v>4779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pane ySplit="1" topLeftCell="A262" activePane="bottomLeft" state="frozen"/>
      <selection pane="bottomLeft" activeCell="C279" sqref="C27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1062</v>
      </c>
      <c r="E2" s="11">
        <f>IF(B2&gt;0,1,0)</f>
        <v>1</v>
      </c>
      <c r="F2" s="11">
        <f>B2*(D2-E2)</f>
        <v>102598700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1060</v>
      </c>
      <c r="E3" s="11">
        <f t="shared" ref="E3:E66" si="1">IF(B3&gt;0,1,0)</f>
        <v>1</v>
      </c>
      <c r="F3" s="11">
        <f t="shared" ref="F3:F66" si="2">B3*(D3-E3)</f>
        <v>3177000000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1057</v>
      </c>
      <c r="E4" s="11">
        <f t="shared" si="1"/>
        <v>0</v>
      </c>
      <c r="F4" s="11">
        <f t="shared" si="2"/>
        <v>-211400000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1055</v>
      </c>
      <c r="E5" s="11">
        <f t="shared" si="1"/>
        <v>0</v>
      </c>
      <c r="F5" s="11">
        <f t="shared" si="2"/>
        <v>-105500000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1054</v>
      </c>
      <c r="E6" s="11">
        <f t="shared" si="1"/>
        <v>0</v>
      </c>
      <c r="F6" s="11">
        <f t="shared" si="2"/>
        <v>-57970000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1053</v>
      </c>
      <c r="E7" s="11">
        <f t="shared" si="1"/>
        <v>0</v>
      </c>
      <c r="F7" s="11">
        <f t="shared" si="2"/>
        <v>-210600000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1049</v>
      </c>
      <c r="E8" s="11">
        <f t="shared" si="1"/>
        <v>0</v>
      </c>
      <c r="F8" s="11">
        <f t="shared" si="2"/>
        <v>-209800000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1039</v>
      </c>
      <c r="E9" s="11">
        <f t="shared" si="1"/>
        <v>0</v>
      </c>
      <c r="F9" s="11">
        <f t="shared" si="2"/>
        <v>-987569500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1038</v>
      </c>
      <c r="E10" s="11">
        <f t="shared" si="1"/>
        <v>1</v>
      </c>
      <c r="F10" s="11">
        <f t="shared" si="2"/>
        <v>2074000000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1036</v>
      </c>
      <c r="E11" s="11">
        <f t="shared" si="1"/>
        <v>0</v>
      </c>
      <c r="F11" s="11">
        <f t="shared" si="2"/>
        <v>-1103340000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1033</v>
      </c>
      <c r="E12" s="11">
        <f t="shared" si="1"/>
        <v>0</v>
      </c>
      <c r="F12" s="11">
        <f t="shared" si="2"/>
        <v>-46485000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1032</v>
      </c>
      <c r="E13" s="11">
        <f t="shared" si="1"/>
        <v>0</v>
      </c>
      <c r="F13" s="11">
        <f t="shared" si="2"/>
        <v>-2064722400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1028</v>
      </c>
      <c r="E14" s="11">
        <f t="shared" si="1"/>
        <v>0</v>
      </c>
      <c r="F14" s="11">
        <f t="shared" si="2"/>
        <v>-205600000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1026</v>
      </c>
      <c r="E15" s="11">
        <f t="shared" si="1"/>
        <v>1</v>
      </c>
      <c r="F15" s="11">
        <f t="shared" si="2"/>
        <v>2050000000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1026</v>
      </c>
      <c r="E16" s="11">
        <f t="shared" si="1"/>
        <v>1</v>
      </c>
      <c r="F16" s="11">
        <f t="shared" si="2"/>
        <v>2050000000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1026</v>
      </c>
      <c r="E17" s="11">
        <f t="shared" si="1"/>
        <v>1</v>
      </c>
      <c r="F17" s="11">
        <f t="shared" si="2"/>
        <v>1230000000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1026</v>
      </c>
      <c r="E18" s="11">
        <f t="shared" si="1"/>
        <v>1</v>
      </c>
      <c r="F18" s="11">
        <f t="shared" si="2"/>
        <v>1025000000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1025</v>
      </c>
      <c r="E19" s="11">
        <f t="shared" si="1"/>
        <v>1</v>
      </c>
      <c r="F19" s="11">
        <f t="shared" si="2"/>
        <v>3072000000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1025</v>
      </c>
      <c r="E20" s="11">
        <f t="shared" si="1"/>
        <v>0</v>
      </c>
      <c r="F20" s="11">
        <f t="shared" si="2"/>
        <v>-443517500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1025</v>
      </c>
      <c r="E21" s="11">
        <f t="shared" si="1"/>
        <v>0</v>
      </c>
      <c r="F21" s="11">
        <f t="shared" si="2"/>
        <v>-443517500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1025</v>
      </c>
      <c r="E22" s="11">
        <f t="shared" si="1"/>
        <v>0</v>
      </c>
      <c r="F22" s="11">
        <f t="shared" si="2"/>
        <v>-443517500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1025</v>
      </c>
      <c r="E23" s="11">
        <f t="shared" si="1"/>
        <v>0</v>
      </c>
      <c r="F23" s="11">
        <f t="shared" si="2"/>
        <v>-443517500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1025</v>
      </c>
      <c r="E24" s="11">
        <f t="shared" si="1"/>
        <v>0</v>
      </c>
      <c r="F24" s="11">
        <f t="shared" si="2"/>
        <v>-443517500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1025</v>
      </c>
      <c r="E25" s="11">
        <f t="shared" si="1"/>
        <v>0</v>
      </c>
      <c r="F25" s="11">
        <f t="shared" si="2"/>
        <v>-205000000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1024</v>
      </c>
      <c r="E26" s="11">
        <f t="shared" si="1"/>
        <v>1</v>
      </c>
      <c r="F26" s="11">
        <f t="shared" si="2"/>
        <v>3069000000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1022</v>
      </c>
      <c r="E27" s="11">
        <f t="shared" si="1"/>
        <v>0</v>
      </c>
      <c r="F27" s="11">
        <f t="shared" si="2"/>
        <v>-204400000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1021</v>
      </c>
      <c r="E28" s="11">
        <f t="shared" si="1"/>
        <v>1</v>
      </c>
      <c r="F28" s="11">
        <f t="shared" si="2"/>
        <v>2040000000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1020</v>
      </c>
      <c r="E29" s="11">
        <f t="shared" si="1"/>
        <v>0</v>
      </c>
      <c r="F29" s="11">
        <f t="shared" si="2"/>
        <v>-7140816000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1019</v>
      </c>
      <c r="E30" s="11">
        <f t="shared" si="1"/>
        <v>0</v>
      </c>
      <c r="F30" s="11">
        <f t="shared" si="2"/>
        <v>-3057917100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1018</v>
      </c>
      <c r="E31" s="11">
        <f t="shared" si="1"/>
        <v>0</v>
      </c>
      <c r="F31" s="11">
        <f t="shared" si="2"/>
        <v>-1726426200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1015</v>
      </c>
      <c r="E32" s="11">
        <f t="shared" si="1"/>
        <v>1</v>
      </c>
      <c r="F32" s="11">
        <f t="shared" si="2"/>
        <v>1008220200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1009</v>
      </c>
      <c r="E33" s="11">
        <f t="shared" si="1"/>
        <v>1</v>
      </c>
      <c r="F33" s="11">
        <f t="shared" si="2"/>
        <v>35371728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1008</v>
      </c>
      <c r="E34" s="11">
        <f t="shared" si="1"/>
        <v>0</v>
      </c>
      <c r="F34" s="11">
        <f t="shared" si="2"/>
        <v>-856800000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1000</v>
      </c>
      <c r="E35" s="11">
        <f t="shared" si="1"/>
        <v>0</v>
      </c>
      <c r="F35" s="11">
        <f t="shared" si="2"/>
        <v>-190500000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999</v>
      </c>
      <c r="E36" s="11">
        <f t="shared" si="1"/>
        <v>1</v>
      </c>
      <c r="F36" s="11">
        <f t="shared" si="2"/>
        <v>199600000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999</v>
      </c>
      <c r="E37" s="11">
        <f t="shared" si="1"/>
        <v>0</v>
      </c>
      <c r="F37" s="11">
        <f t="shared" si="2"/>
        <v>-199800000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977</v>
      </c>
      <c r="E38" s="11">
        <f t="shared" si="1"/>
        <v>1</v>
      </c>
      <c r="F38" s="11">
        <f t="shared" si="2"/>
        <v>293586656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976</v>
      </c>
      <c r="E39" s="11">
        <f t="shared" si="1"/>
        <v>0</v>
      </c>
      <c r="F39" s="11">
        <f t="shared" si="2"/>
        <v>-92720000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976</v>
      </c>
      <c r="E40" s="11">
        <f t="shared" si="1"/>
        <v>0</v>
      </c>
      <c r="F40" s="11">
        <f t="shared" si="2"/>
        <v>-85988528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971</v>
      </c>
      <c r="E41" s="11">
        <f t="shared" si="1"/>
        <v>0</v>
      </c>
      <c r="F41" s="11">
        <f t="shared" si="2"/>
        <v>-116520000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949</v>
      </c>
      <c r="E42" s="11">
        <f t="shared" si="1"/>
        <v>1</v>
      </c>
      <c r="F42" s="11">
        <f t="shared" si="2"/>
        <v>948193392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945</v>
      </c>
      <c r="E43" s="11">
        <f t="shared" si="1"/>
        <v>0</v>
      </c>
      <c r="F43" s="11">
        <f t="shared" si="2"/>
        <v>-75600000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941</v>
      </c>
      <c r="E44" s="11">
        <f t="shared" si="1"/>
        <v>0</v>
      </c>
      <c r="F44" s="11">
        <f t="shared" si="2"/>
        <v>-198578289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940</v>
      </c>
      <c r="E45" s="11">
        <f t="shared" si="1"/>
        <v>0</v>
      </c>
      <c r="F45" s="11">
        <f t="shared" si="2"/>
        <v>-188000000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939</v>
      </c>
      <c r="E46" s="11">
        <f t="shared" si="1"/>
        <v>0</v>
      </c>
      <c r="F46" s="11">
        <f t="shared" si="2"/>
        <v>-89205000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937</v>
      </c>
      <c r="E47" s="11">
        <f t="shared" si="1"/>
        <v>0</v>
      </c>
      <c r="F47" s="11">
        <f t="shared" si="2"/>
        <v>-42165000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937</v>
      </c>
      <c r="E48" s="11">
        <f t="shared" si="1"/>
        <v>0</v>
      </c>
      <c r="F48" s="11">
        <f t="shared" si="2"/>
        <v>-60136660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934</v>
      </c>
      <c r="E49" s="11">
        <f t="shared" si="1"/>
        <v>0</v>
      </c>
      <c r="F49" s="11">
        <f t="shared" si="2"/>
        <v>-25670056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933</v>
      </c>
      <c r="E50" s="11">
        <f t="shared" si="1"/>
        <v>0</v>
      </c>
      <c r="F50" s="11">
        <f t="shared" si="2"/>
        <v>-131553000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933</v>
      </c>
      <c r="E51" s="11">
        <f t="shared" si="1"/>
        <v>0</v>
      </c>
      <c r="F51" s="11">
        <f t="shared" si="2"/>
        <v>-24954018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932</v>
      </c>
      <c r="E52" s="11">
        <f t="shared" si="1"/>
        <v>0</v>
      </c>
      <c r="F52" s="11">
        <f t="shared" si="2"/>
        <v>-49675600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931</v>
      </c>
      <c r="E53" s="11">
        <f t="shared" si="1"/>
        <v>1</v>
      </c>
      <c r="F53" s="11">
        <f t="shared" si="2"/>
        <v>930000000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925</v>
      </c>
      <c r="E54" s="11">
        <f t="shared" si="1"/>
        <v>0</v>
      </c>
      <c r="F54" s="11">
        <f t="shared" si="2"/>
        <v>-19425000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924</v>
      </c>
      <c r="E55" s="11">
        <f t="shared" si="1"/>
        <v>0</v>
      </c>
      <c r="F55" s="11">
        <f t="shared" si="2"/>
        <v>-905982000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924</v>
      </c>
      <c r="E56" s="11">
        <f t="shared" si="1"/>
        <v>0</v>
      </c>
      <c r="F56" s="11">
        <f t="shared" si="2"/>
        <v>-41580000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911</v>
      </c>
      <c r="E57" s="11">
        <f t="shared" si="1"/>
        <v>1</v>
      </c>
      <c r="F57" s="11">
        <f t="shared" si="2"/>
        <v>2734721990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911</v>
      </c>
      <c r="E58" s="11">
        <f t="shared" si="1"/>
        <v>1</v>
      </c>
      <c r="F58" s="11">
        <f t="shared" si="2"/>
        <v>1820000000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910</v>
      </c>
      <c r="E59" s="11">
        <f t="shared" si="1"/>
        <v>1</v>
      </c>
      <c r="F59" s="11">
        <f t="shared" si="2"/>
        <v>1818000000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910</v>
      </c>
      <c r="E60" s="11">
        <f t="shared" si="1"/>
        <v>0</v>
      </c>
      <c r="F60" s="11">
        <f t="shared" si="2"/>
        <v>-6371365000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886</v>
      </c>
      <c r="E61" s="11">
        <f t="shared" si="1"/>
        <v>1</v>
      </c>
      <c r="F61" s="11">
        <f t="shared" si="2"/>
        <v>2655000000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885</v>
      </c>
      <c r="E62" s="11">
        <f t="shared" si="1"/>
        <v>0</v>
      </c>
      <c r="F62" s="11">
        <f t="shared" si="2"/>
        <v>-23991465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885</v>
      </c>
      <c r="E63" s="11">
        <f t="shared" si="1"/>
        <v>0</v>
      </c>
      <c r="F63" s="11">
        <f t="shared" si="2"/>
        <v>-29195265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885</v>
      </c>
      <c r="E64" s="11">
        <f t="shared" si="1"/>
        <v>1</v>
      </c>
      <c r="F64" s="11">
        <f t="shared" si="2"/>
        <v>2652000000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885</v>
      </c>
      <c r="E65" s="11">
        <f t="shared" si="1"/>
        <v>1</v>
      </c>
      <c r="F65" s="11">
        <f t="shared" si="2"/>
        <v>2625480000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885</v>
      </c>
      <c r="E66" s="11">
        <f t="shared" si="1"/>
        <v>1</v>
      </c>
      <c r="F66" s="11">
        <f t="shared" si="2"/>
        <v>884000000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885</v>
      </c>
      <c r="E67" s="11">
        <f t="shared" ref="E67:E130" si="4">IF(B67&gt;0,1,0)</f>
        <v>1</v>
      </c>
      <c r="F67" s="11">
        <f t="shared" ref="F67:F248" si="5">B67*(D67-E67)</f>
        <v>26520000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884</v>
      </c>
      <c r="E68" s="11">
        <f t="shared" si="4"/>
        <v>1</v>
      </c>
      <c r="F68" s="11">
        <f t="shared" si="5"/>
        <v>26490000000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883</v>
      </c>
      <c r="E69" s="11">
        <f t="shared" si="4"/>
        <v>0</v>
      </c>
      <c r="F69" s="11">
        <f t="shared" si="5"/>
        <v>-176600000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883</v>
      </c>
      <c r="E70" s="11">
        <f t="shared" si="4"/>
        <v>1</v>
      </c>
      <c r="F70" s="11">
        <f t="shared" si="5"/>
        <v>1234800000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883</v>
      </c>
      <c r="E71" s="11">
        <f t="shared" si="4"/>
        <v>1</v>
      </c>
      <c r="F71" s="11">
        <f t="shared" si="5"/>
        <v>2293200000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883</v>
      </c>
      <c r="E72" s="11">
        <f t="shared" si="4"/>
        <v>0</v>
      </c>
      <c r="F72" s="11">
        <f t="shared" si="5"/>
        <v>-883000000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881</v>
      </c>
      <c r="E73" s="11">
        <f t="shared" si="4"/>
        <v>1</v>
      </c>
      <c r="F73" s="11">
        <f t="shared" si="5"/>
        <v>13200000000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876</v>
      </c>
      <c r="E74" s="11">
        <f t="shared" si="4"/>
        <v>0</v>
      </c>
      <c r="F74" s="11">
        <f t="shared" si="5"/>
        <v>-13143679200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874</v>
      </c>
      <c r="E75" s="11">
        <f t="shared" si="4"/>
        <v>0</v>
      </c>
      <c r="F75" s="11">
        <f t="shared" si="5"/>
        <v>-2622000000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874</v>
      </c>
      <c r="E76" s="11">
        <f t="shared" si="4"/>
        <v>0</v>
      </c>
      <c r="F76" s="11">
        <f t="shared" si="5"/>
        <v>-174800000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874</v>
      </c>
      <c r="E77" s="11">
        <f t="shared" si="4"/>
        <v>0</v>
      </c>
      <c r="F77" s="11">
        <f t="shared" si="5"/>
        <v>-10490622000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870</v>
      </c>
      <c r="E78" s="11">
        <f t="shared" si="4"/>
        <v>0</v>
      </c>
      <c r="F78" s="11">
        <f t="shared" si="5"/>
        <v>-2610783000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865</v>
      </c>
      <c r="E79" s="11">
        <f t="shared" si="4"/>
        <v>1</v>
      </c>
      <c r="F79" s="11">
        <f t="shared" si="5"/>
        <v>19872000000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860</v>
      </c>
      <c r="E80" s="11">
        <f t="shared" si="4"/>
        <v>0</v>
      </c>
      <c r="F80" s="11">
        <f t="shared" si="5"/>
        <v>-516430000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860</v>
      </c>
      <c r="E81" s="11">
        <f t="shared" si="4"/>
        <v>0</v>
      </c>
      <c r="F81" s="11">
        <f t="shared" si="5"/>
        <v>-172000000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859</v>
      </c>
      <c r="E82" s="11">
        <f t="shared" si="4"/>
        <v>1</v>
      </c>
      <c r="F82" s="11">
        <f t="shared" si="5"/>
        <v>243003618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859</v>
      </c>
      <c r="E83" s="11">
        <f t="shared" si="4"/>
        <v>0</v>
      </c>
      <c r="F83" s="11">
        <f t="shared" si="5"/>
        <v>-171800000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857</v>
      </c>
      <c r="E84" s="11">
        <f t="shared" si="4"/>
        <v>1</v>
      </c>
      <c r="F84" s="11">
        <f t="shared" si="5"/>
        <v>1712000000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854</v>
      </c>
      <c r="E85" s="11">
        <f t="shared" si="4"/>
        <v>0</v>
      </c>
      <c r="F85" s="11">
        <f t="shared" si="5"/>
        <v>-170800000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848</v>
      </c>
      <c r="E86" s="11">
        <f t="shared" si="4"/>
        <v>0</v>
      </c>
      <c r="F86" s="11">
        <f t="shared" si="5"/>
        <v>-169600000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846</v>
      </c>
      <c r="E87" s="11">
        <f t="shared" si="4"/>
        <v>0</v>
      </c>
      <c r="F87" s="11">
        <f t="shared" si="5"/>
        <v>-1120950000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831</v>
      </c>
      <c r="E88" s="11">
        <f t="shared" si="4"/>
        <v>0</v>
      </c>
      <c r="F88" s="11">
        <f t="shared" si="5"/>
        <v>-415500000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831</v>
      </c>
      <c r="E89" s="11">
        <f t="shared" si="4"/>
        <v>0</v>
      </c>
      <c r="F89" s="11">
        <f t="shared" si="5"/>
        <v>-99720000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829</v>
      </c>
      <c r="E90" s="11">
        <f t="shared" si="4"/>
        <v>1</v>
      </c>
      <c r="F90" s="11">
        <f t="shared" si="5"/>
        <v>354553740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826</v>
      </c>
      <c r="E91" s="11">
        <f t="shared" si="4"/>
        <v>0</v>
      </c>
      <c r="F91" s="11">
        <f t="shared" si="5"/>
        <v>-2479652000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824</v>
      </c>
      <c r="E92" s="11">
        <f t="shared" si="4"/>
        <v>0</v>
      </c>
      <c r="F92" s="11">
        <f t="shared" si="5"/>
        <v>-168920000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824</v>
      </c>
      <c r="E93" s="11">
        <f t="shared" si="4"/>
        <v>0</v>
      </c>
      <c r="F93" s="11">
        <f t="shared" si="5"/>
        <v>-288812000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813</v>
      </c>
      <c r="E94" s="11">
        <f t="shared" si="4"/>
        <v>1</v>
      </c>
      <c r="F94" s="11">
        <f t="shared" si="5"/>
        <v>812000000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808</v>
      </c>
      <c r="E95" s="11">
        <f t="shared" si="4"/>
        <v>1</v>
      </c>
      <c r="F95" s="11">
        <f t="shared" si="5"/>
        <v>7263000000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806</v>
      </c>
      <c r="E96" s="11">
        <f t="shared" si="4"/>
        <v>0</v>
      </c>
      <c r="F96" s="11">
        <f t="shared" si="5"/>
        <v>-20956000000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806</v>
      </c>
      <c r="E97" s="11">
        <f t="shared" si="4"/>
        <v>0</v>
      </c>
      <c r="F97" s="11">
        <f t="shared" si="5"/>
        <v>-20956000000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806</v>
      </c>
      <c r="E98" s="11">
        <f t="shared" si="4"/>
        <v>1</v>
      </c>
      <c r="F98" s="11">
        <f t="shared" si="5"/>
        <v>20930000000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806</v>
      </c>
      <c r="E99" s="11">
        <f t="shared" si="4"/>
        <v>0</v>
      </c>
      <c r="F99" s="11">
        <f t="shared" si="5"/>
        <v>-161200000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804</v>
      </c>
      <c r="E100" s="11">
        <f t="shared" si="4"/>
        <v>1</v>
      </c>
      <c r="F100" s="11">
        <f t="shared" si="5"/>
        <v>23447600000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799</v>
      </c>
      <c r="E101" s="11">
        <f t="shared" si="4"/>
        <v>1</v>
      </c>
      <c r="F101" s="11">
        <f t="shared" si="5"/>
        <v>319156110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798</v>
      </c>
      <c r="E102" s="11">
        <f t="shared" si="4"/>
        <v>1</v>
      </c>
      <c r="F102" s="11">
        <f t="shared" si="5"/>
        <v>1594000000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797</v>
      </c>
      <c r="E103" s="11">
        <f t="shared" si="4"/>
        <v>1</v>
      </c>
      <c r="F103" s="11">
        <f t="shared" si="5"/>
        <v>5970000000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797</v>
      </c>
      <c r="E104" s="11">
        <f t="shared" si="4"/>
        <v>0</v>
      </c>
      <c r="F104" s="11">
        <f t="shared" si="5"/>
        <v>-52602000000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797</v>
      </c>
      <c r="E105" s="11">
        <f t="shared" si="4"/>
        <v>0</v>
      </c>
      <c r="F105" s="11">
        <f t="shared" si="5"/>
        <v>-115565000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795</v>
      </c>
      <c r="E106" s="11">
        <f t="shared" si="4"/>
        <v>1</v>
      </c>
      <c r="F106" s="11">
        <f t="shared" si="5"/>
        <v>4764000000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793</v>
      </c>
      <c r="E107" s="11">
        <f t="shared" si="4"/>
        <v>0</v>
      </c>
      <c r="F107" s="11">
        <f t="shared" si="5"/>
        <v>-4762678700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790</v>
      </c>
      <c r="E108" s="11">
        <f t="shared" si="4"/>
        <v>1</v>
      </c>
      <c r="F108" s="11">
        <f t="shared" si="5"/>
        <v>4734000000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778</v>
      </c>
      <c r="E109" s="11">
        <f t="shared" si="4"/>
        <v>0</v>
      </c>
      <c r="F109" s="11">
        <f t="shared" si="5"/>
        <v>-93360000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777</v>
      </c>
      <c r="E110" s="11">
        <f t="shared" si="4"/>
        <v>1</v>
      </c>
      <c r="F110" s="11">
        <f t="shared" si="5"/>
        <v>3104000000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776</v>
      </c>
      <c r="E111" s="11">
        <f t="shared" si="4"/>
        <v>1</v>
      </c>
      <c r="F111" s="11">
        <f t="shared" si="5"/>
        <v>2170000000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772</v>
      </c>
      <c r="E112" s="11">
        <f t="shared" si="4"/>
        <v>0</v>
      </c>
      <c r="F112" s="11">
        <f t="shared" si="5"/>
        <v>-154400000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771</v>
      </c>
      <c r="E113" s="11">
        <f t="shared" si="4"/>
        <v>1</v>
      </c>
      <c r="F113" s="11">
        <f t="shared" si="5"/>
        <v>55678700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754</v>
      </c>
      <c r="E114" s="11">
        <f t="shared" si="4"/>
        <v>0</v>
      </c>
      <c r="F114" s="11">
        <f t="shared" si="5"/>
        <v>-150800000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753</v>
      </c>
      <c r="E115" s="11">
        <f t="shared" si="4"/>
        <v>0</v>
      </c>
      <c r="F115" s="23">
        <f t="shared" si="5"/>
        <v>-8283000000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753</v>
      </c>
      <c r="E116" s="11">
        <f t="shared" si="4"/>
        <v>0</v>
      </c>
      <c r="F116" s="11">
        <f t="shared" si="5"/>
        <v>-150600000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751</v>
      </c>
      <c r="E117" s="11">
        <f t="shared" si="4"/>
        <v>0</v>
      </c>
      <c r="F117" s="11">
        <f t="shared" si="5"/>
        <v>-338325500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751</v>
      </c>
      <c r="E118" s="11">
        <f t="shared" si="4"/>
        <v>0</v>
      </c>
      <c r="F118" s="11">
        <f t="shared" si="5"/>
        <v>-150200000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745</v>
      </c>
      <c r="E119" s="11">
        <f t="shared" si="4"/>
        <v>0</v>
      </c>
      <c r="F119" s="11">
        <f t="shared" si="5"/>
        <v>-115139750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745</v>
      </c>
      <c r="E120" s="11">
        <f t="shared" si="4"/>
        <v>0</v>
      </c>
      <c r="F120" s="11">
        <f t="shared" si="5"/>
        <v>-238400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744</v>
      </c>
      <c r="E121" s="11">
        <f t="shared" si="4"/>
        <v>0</v>
      </c>
      <c r="F121" s="11">
        <f t="shared" si="5"/>
        <v>-321408000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738</v>
      </c>
      <c r="E122" s="11">
        <f t="shared" si="4"/>
        <v>1</v>
      </c>
      <c r="F122" s="11">
        <f t="shared" si="5"/>
        <v>54569691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717</v>
      </c>
      <c r="E123" s="11">
        <f t="shared" si="4"/>
        <v>0</v>
      </c>
      <c r="F123" s="11">
        <f t="shared" si="5"/>
        <v>-37284000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676</v>
      </c>
      <c r="E124" s="11">
        <f t="shared" si="4"/>
        <v>1</v>
      </c>
      <c r="F124" s="11">
        <f t="shared" si="5"/>
        <v>801225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675</v>
      </c>
      <c r="E125" s="11">
        <f t="shared" si="4"/>
        <v>1</v>
      </c>
      <c r="F125" s="11">
        <f t="shared" si="5"/>
        <v>1617600000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673</v>
      </c>
      <c r="E126" s="11">
        <f t="shared" si="4"/>
        <v>1</v>
      </c>
      <c r="F126" s="11">
        <f t="shared" si="5"/>
        <v>902361600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673</v>
      </c>
      <c r="E127" s="11">
        <f t="shared" si="4"/>
        <v>1</v>
      </c>
      <c r="F127" s="11">
        <f t="shared" si="5"/>
        <v>902361600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661</v>
      </c>
      <c r="E128" s="11">
        <f t="shared" si="4"/>
        <v>0</v>
      </c>
      <c r="F128" s="11">
        <f t="shared" si="5"/>
        <v>-132200000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659</v>
      </c>
      <c r="E129" s="11">
        <f t="shared" si="4"/>
        <v>0</v>
      </c>
      <c r="F129" s="11">
        <f>B129*(D129-E129)</f>
        <v>-10292262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658</v>
      </c>
      <c r="E130" s="11">
        <f t="shared" si="4"/>
        <v>0</v>
      </c>
      <c r="F130" s="11">
        <f t="shared" si="5"/>
        <v>-131600000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657</v>
      </c>
      <c r="E131" s="11">
        <f t="shared" ref="E131:E248" si="7">IF(B131&gt;0,1,0)</f>
        <v>0</v>
      </c>
      <c r="F131" s="11">
        <f t="shared" si="5"/>
        <v>-131400000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656</v>
      </c>
      <c r="E132" s="11">
        <f t="shared" si="7"/>
        <v>0</v>
      </c>
      <c r="F132" s="11">
        <f t="shared" si="5"/>
        <v>-255840000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656</v>
      </c>
      <c r="E133" s="11">
        <f t="shared" si="7"/>
        <v>0</v>
      </c>
      <c r="F133" s="11">
        <f t="shared" si="5"/>
        <v>-16072000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655</v>
      </c>
      <c r="E134" s="11">
        <f t="shared" si="7"/>
        <v>0</v>
      </c>
      <c r="F134" s="11">
        <f t="shared" si="5"/>
        <v>-62225000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651</v>
      </c>
      <c r="E135" s="11">
        <f t="shared" si="7"/>
        <v>0</v>
      </c>
      <c r="F135" s="11">
        <f t="shared" si="5"/>
        <v>-130200000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649</v>
      </c>
      <c r="E136" s="11">
        <f t="shared" si="7"/>
        <v>1</v>
      </c>
      <c r="F136" s="11">
        <f t="shared" si="5"/>
        <v>32400000000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648</v>
      </c>
      <c r="E137" s="11">
        <f t="shared" si="7"/>
        <v>1</v>
      </c>
      <c r="F137" s="11">
        <f t="shared" si="5"/>
        <v>7764000000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646</v>
      </c>
      <c r="E138" s="11">
        <f t="shared" si="7"/>
        <v>1</v>
      </c>
      <c r="F138" s="11">
        <f t="shared" si="5"/>
        <v>1290000000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645</v>
      </c>
      <c r="E139" s="11">
        <f t="shared" si="7"/>
        <v>1</v>
      </c>
      <c r="F139" s="11">
        <f t="shared" si="5"/>
        <v>56374472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632</v>
      </c>
      <c r="E140" s="11">
        <f t="shared" si="7"/>
        <v>0</v>
      </c>
      <c r="F140" s="11">
        <f t="shared" si="5"/>
        <v>-1896568800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631</v>
      </c>
      <c r="E141" s="11">
        <f t="shared" si="7"/>
        <v>0</v>
      </c>
      <c r="F141" s="11">
        <f t="shared" si="5"/>
        <v>-1893567900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614</v>
      </c>
      <c r="E142" s="11">
        <f t="shared" si="7"/>
        <v>1</v>
      </c>
      <c r="F142" s="11">
        <f t="shared" si="5"/>
        <v>369041325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614</v>
      </c>
      <c r="E143" s="11">
        <f t="shared" si="7"/>
        <v>0</v>
      </c>
      <c r="F143" s="11">
        <f t="shared" si="5"/>
        <v>-28244000000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583</v>
      </c>
      <c r="E144" s="11">
        <f t="shared" si="7"/>
        <v>1</v>
      </c>
      <c r="F144" s="11">
        <f t="shared" si="5"/>
        <v>89690274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582</v>
      </c>
      <c r="E145" s="11">
        <f t="shared" si="7"/>
        <v>1</v>
      </c>
      <c r="F145" s="11">
        <f t="shared" si="5"/>
        <v>1743000000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579</v>
      </c>
      <c r="E146" s="11">
        <f t="shared" si="7"/>
        <v>0</v>
      </c>
      <c r="F146" s="11">
        <f t="shared" si="5"/>
        <v>-115800000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574</v>
      </c>
      <c r="E147" s="11">
        <f t="shared" si="7"/>
        <v>0</v>
      </c>
      <c r="F147" s="11">
        <f t="shared" si="5"/>
        <v>-114800000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573</v>
      </c>
      <c r="E148" s="11">
        <f t="shared" si="7"/>
        <v>0</v>
      </c>
      <c r="F148" s="11">
        <f t="shared" si="5"/>
        <v>-114600000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569</v>
      </c>
      <c r="E149" s="11">
        <f t="shared" si="7"/>
        <v>0</v>
      </c>
      <c r="F149" s="11">
        <f t="shared" si="5"/>
        <v>-113800000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568</v>
      </c>
      <c r="E150" s="11">
        <f t="shared" si="7"/>
        <v>1</v>
      </c>
      <c r="F150" s="11">
        <f t="shared" si="5"/>
        <v>13649617800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566</v>
      </c>
      <c r="E151" s="11">
        <f t="shared" si="7"/>
        <v>0</v>
      </c>
      <c r="F151" s="11">
        <f t="shared" si="5"/>
        <v>-113200000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560</v>
      </c>
      <c r="E152" s="11">
        <f t="shared" si="7"/>
        <v>0</v>
      </c>
      <c r="F152" s="11">
        <f t="shared" si="5"/>
        <v>-16800000000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559</v>
      </c>
      <c r="E153" s="11">
        <f t="shared" si="7"/>
        <v>0</v>
      </c>
      <c r="F153" s="11">
        <f t="shared" si="5"/>
        <v>-29068000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559</v>
      </c>
      <c r="E154" s="11">
        <f t="shared" si="7"/>
        <v>0</v>
      </c>
      <c r="F154" s="11">
        <f t="shared" si="5"/>
        <v>-76024000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554</v>
      </c>
      <c r="E155" s="11">
        <f t="shared" si="7"/>
        <v>1</v>
      </c>
      <c r="F155" s="11">
        <f t="shared" si="5"/>
        <v>1659000000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553</v>
      </c>
      <c r="E156" s="11">
        <f t="shared" si="7"/>
        <v>1</v>
      </c>
      <c r="F156" s="11">
        <f t="shared" si="5"/>
        <v>104384856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553</v>
      </c>
      <c r="E157" s="11">
        <f t="shared" si="7"/>
        <v>1</v>
      </c>
      <c r="F157" s="11">
        <f t="shared" si="5"/>
        <v>13373690400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545</v>
      </c>
      <c r="E158" s="11">
        <f t="shared" si="7"/>
        <v>1</v>
      </c>
      <c r="F158" s="11">
        <f t="shared" si="5"/>
        <v>13216588800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545</v>
      </c>
      <c r="E159" s="11">
        <f t="shared" si="7"/>
        <v>0</v>
      </c>
      <c r="F159" s="11">
        <f t="shared" si="5"/>
        <v>-109545000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540</v>
      </c>
      <c r="E160" s="11">
        <f t="shared" si="7"/>
        <v>0</v>
      </c>
      <c r="F160" s="11">
        <f t="shared" si="5"/>
        <v>-108000000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537</v>
      </c>
      <c r="E161" s="11">
        <f t="shared" si="7"/>
        <v>0</v>
      </c>
      <c r="F161" s="11">
        <f t="shared" si="5"/>
        <v>-107400000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533</v>
      </c>
      <c r="E162" s="11">
        <f t="shared" si="7"/>
        <v>0</v>
      </c>
      <c r="F162" s="11">
        <f t="shared" si="5"/>
        <v>-106600000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530</v>
      </c>
      <c r="E163" s="11">
        <f t="shared" si="7"/>
        <v>0</v>
      </c>
      <c r="F163" s="11">
        <f t="shared" si="5"/>
        <v>-106000000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523</v>
      </c>
      <c r="E164" s="11">
        <f t="shared" si="7"/>
        <v>1</v>
      </c>
      <c r="F164" s="11">
        <f t="shared" si="5"/>
        <v>238905828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520</v>
      </c>
      <c r="E165" s="11">
        <f t="shared" si="7"/>
        <v>1</v>
      </c>
      <c r="F165" s="11">
        <f t="shared" si="5"/>
        <v>1401300000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520</v>
      </c>
      <c r="E166" s="11">
        <f t="shared" si="7"/>
        <v>1</v>
      </c>
      <c r="F166" s="11">
        <f t="shared" si="5"/>
        <v>1297500000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513</v>
      </c>
      <c r="E167" s="11">
        <f t="shared" si="7"/>
        <v>0</v>
      </c>
      <c r="F167" s="11">
        <f t="shared" si="5"/>
        <v>-102600000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511</v>
      </c>
      <c r="E168" s="11">
        <f t="shared" si="7"/>
        <v>0</v>
      </c>
      <c r="F168" s="11">
        <f t="shared" si="5"/>
        <v>-102200000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505</v>
      </c>
      <c r="E169" s="11">
        <f t="shared" si="7"/>
        <v>0</v>
      </c>
      <c r="F169" s="11">
        <f t="shared" si="5"/>
        <v>-101000000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502</v>
      </c>
      <c r="E170" s="11">
        <f t="shared" si="7"/>
        <v>0</v>
      </c>
      <c r="F170" s="11">
        <f t="shared" si="5"/>
        <v>-100400000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502</v>
      </c>
      <c r="E171" s="11">
        <f t="shared" si="7"/>
        <v>1</v>
      </c>
      <c r="F171" s="11">
        <f t="shared" si="5"/>
        <v>1503000000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499</v>
      </c>
      <c r="E172" s="11">
        <f t="shared" si="7"/>
        <v>0</v>
      </c>
      <c r="F172" s="11">
        <f t="shared" si="5"/>
        <v>-99800000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498</v>
      </c>
      <c r="E173" s="11">
        <f t="shared" si="7"/>
        <v>1</v>
      </c>
      <c r="F173" s="11">
        <f t="shared" si="5"/>
        <v>1491000000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497</v>
      </c>
      <c r="E174" s="11">
        <f t="shared" si="7"/>
        <v>1</v>
      </c>
      <c r="F174" s="11">
        <f t="shared" si="5"/>
        <v>992000000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496</v>
      </c>
      <c r="E175" s="11">
        <f t="shared" si="7"/>
        <v>1</v>
      </c>
      <c r="F175" s="11">
        <f t="shared" si="5"/>
        <v>643500000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494</v>
      </c>
      <c r="E176" s="11">
        <f t="shared" si="7"/>
        <v>0</v>
      </c>
      <c r="F176" s="11">
        <f t="shared" si="5"/>
        <v>-98800000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494</v>
      </c>
      <c r="E177" s="11">
        <f t="shared" si="7"/>
        <v>1</v>
      </c>
      <c r="F177" s="11">
        <f t="shared" si="5"/>
        <v>838100000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493</v>
      </c>
      <c r="E178" s="11">
        <f t="shared" si="7"/>
        <v>0</v>
      </c>
      <c r="F178" s="11">
        <f t="shared" si="5"/>
        <v>-98600000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492</v>
      </c>
      <c r="E179" s="11">
        <f t="shared" si="7"/>
        <v>1</v>
      </c>
      <c r="F179" s="11">
        <f t="shared" si="5"/>
        <v>280602572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489</v>
      </c>
      <c r="E180" s="11">
        <f t="shared" si="7"/>
        <v>1</v>
      </c>
      <c r="F180" s="11">
        <f t="shared" si="5"/>
        <v>1464000000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482</v>
      </c>
      <c r="E181" s="11">
        <f t="shared" si="7"/>
        <v>1</v>
      </c>
      <c r="F181" s="11">
        <f t="shared" si="5"/>
        <v>962000000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474</v>
      </c>
      <c r="E182" s="11">
        <f t="shared" si="7"/>
        <v>0</v>
      </c>
      <c r="F182" s="11">
        <f t="shared" si="5"/>
        <v>-1043131800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462</v>
      </c>
      <c r="E183" s="11">
        <f t="shared" si="7"/>
        <v>1</v>
      </c>
      <c r="F183" s="11">
        <f t="shared" si="5"/>
        <v>311215107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432</v>
      </c>
      <c r="E184" s="11">
        <f t="shared" si="7"/>
        <v>1</v>
      </c>
      <c r="F184" s="11">
        <f t="shared" si="5"/>
        <v>291787000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417</v>
      </c>
      <c r="E185" s="11">
        <f t="shared" si="7"/>
        <v>0</v>
      </c>
      <c r="F185" s="11">
        <f t="shared" si="5"/>
        <v>-4170000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5" si="8">D187+C186</f>
        <v>412</v>
      </c>
      <c r="E186" s="11">
        <f t="shared" si="7"/>
        <v>0</v>
      </c>
      <c r="F186" s="11">
        <f t="shared" si="5"/>
        <v>-33166000000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407</v>
      </c>
      <c r="E187" s="11">
        <f t="shared" si="7"/>
        <v>0</v>
      </c>
      <c r="F187" s="11">
        <f t="shared" si="5"/>
        <v>-447700000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407</v>
      </c>
      <c r="E188" s="11">
        <f t="shared" si="7"/>
        <v>1</v>
      </c>
      <c r="F188" s="11">
        <f t="shared" si="5"/>
        <v>1218000000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406</v>
      </c>
      <c r="E189" s="11">
        <f t="shared" si="7"/>
        <v>1</v>
      </c>
      <c r="F189" s="11">
        <f t="shared" si="5"/>
        <v>810000000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406</v>
      </c>
      <c r="E190" s="11">
        <f t="shared" si="7"/>
        <v>0</v>
      </c>
      <c r="F190" s="11">
        <f t="shared" si="5"/>
        <v>-2030000000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405</v>
      </c>
      <c r="E191" s="11">
        <f t="shared" si="7"/>
        <v>1</v>
      </c>
      <c r="F191" s="11">
        <f t="shared" si="5"/>
        <v>195232192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401</v>
      </c>
      <c r="E192" s="11">
        <f t="shared" si="7"/>
        <v>0</v>
      </c>
      <c r="F192" s="11">
        <f t="shared" si="5"/>
        <v>-46235300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397</v>
      </c>
      <c r="E193" s="11">
        <f t="shared" si="7"/>
        <v>1</v>
      </c>
      <c r="F193" s="11">
        <f t="shared" si="5"/>
        <v>35640000000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390</v>
      </c>
      <c r="E194" s="11">
        <f t="shared" si="7"/>
        <v>1</v>
      </c>
      <c r="F194" s="11">
        <f t="shared" si="5"/>
        <v>20228000000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390</v>
      </c>
      <c r="E195" s="11">
        <f t="shared" si="7"/>
        <v>1</v>
      </c>
      <c r="F195" s="99">
        <f t="shared" si="5"/>
        <v>9725000000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390</v>
      </c>
      <c r="E196" s="99">
        <f t="shared" si="7"/>
        <v>0</v>
      </c>
      <c r="F196" s="99">
        <f t="shared" si="5"/>
        <v>-65520000000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383</v>
      </c>
      <c r="E197" s="99">
        <f t="shared" si="7"/>
        <v>0</v>
      </c>
      <c r="F197" s="99">
        <f t="shared" si="5"/>
        <v>-63386500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379</v>
      </c>
      <c r="E198" s="99">
        <f t="shared" si="7"/>
        <v>0</v>
      </c>
      <c r="F198" s="99">
        <f t="shared" si="5"/>
        <v>-75800000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379</v>
      </c>
      <c r="E199" s="99">
        <f t="shared" si="7"/>
        <v>0</v>
      </c>
      <c r="F199" s="99">
        <f t="shared" si="5"/>
        <v>-17805799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376</v>
      </c>
      <c r="E200" s="99">
        <f t="shared" si="7"/>
        <v>0</v>
      </c>
      <c r="F200" s="99">
        <f t="shared" si="5"/>
        <v>-1748400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374</v>
      </c>
      <c r="E201" s="99">
        <f t="shared" si="7"/>
        <v>1</v>
      </c>
      <c r="F201" s="99">
        <f t="shared" si="5"/>
        <v>59615844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371</v>
      </c>
      <c r="E202" s="99">
        <f t="shared" si="7"/>
        <v>0</v>
      </c>
      <c r="F202" s="99">
        <f t="shared" si="5"/>
        <v>-111485500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371</v>
      </c>
      <c r="E203" s="99">
        <f t="shared" si="7"/>
        <v>1</v>
      </c>
      <c r="F203" s="99">
        <f t="shared" si="5"/>
        <v>2220000000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369</v>
      </c>
      <c r="E204" s="99">
        <f t="shared" si="7"/>
        <v>0</v>
      </c>
      <c r="F204" s="99">
        <f t="shared" si="5"/>
        <v>-252765000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368</v>
      </c>
      <c r="E205" s="99">
        <f t="shared" si="7"/>
        <v>0</v>
      </c>
      <c r="F205" s="99">
        <f t="shared" si="5"/>
        <v>-1104000000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367</v>
      </c>
      <c r="E206" s="99">
        <f t="shared" si="7"/>
        <v>0</v>
      </c>
      <c r="F206" s="99">
        <f t="shared" si="5"/>
        <v>-57252000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366</v>
      </c>
      <c r="E207" s="99">
        <f t="shared" si="7"/>
        <v>0</v>
      </c>
      <c r="F207" s="99">
        <f t="shared" si="5"/>
        <v>-24156000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365</v>
      </c>
      <c r="E208" s="99">
        <f t="shared" si="7"/>
        <v>0</v>
      </c>
      <c r="F208" s="99">
        <f t="shared" si="5"/>
        <v>-912828500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363</v>
      </c>
      <c r="E209" s="99">
        <f t="shared" si="7"/>
        <v>1</v>
      </c>
      <c r="F209" s="99">
        <f t="shared" si="5"/>
        <v>1086000000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363</v>
      </c>
      <c r="E210" s="99">
        <f t="shared" si="7"/>
        <v>0</v>
      </c>
      <c r="F210" s="99">
        <f t="shared" si="5"/>
        <v>-944308200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361</v>
      </c>
      <c r="E211" s="99">
        <f t="shared" si="7"/>
        <v>1</v>
      </c>
      <c r="F211" s="99">
        <f t="shared" si="5"/>
        <v>360000000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359</v>
      </c>
      <c r="E212" s="99">
        <f t="shared" si="7"/>
        <v>1</v>
      </c>
      <c r="F212" s="99">
        <f t="shared" si="5"/>
        <v>483300000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358</v>
      </c>
      <c r="E213" s="99">
        <f t="shared" si="7"/>
        <v>0</v>
      </c>
      <c r="F213" s="99">
        <f t="shared" si="5"/>
        <v>-787600000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358</v>
      </c>
      <c r="E214" s="99">
        <f t="shared" si="7"/>
        <v>0</v>
      </c>
      <c r="F214" s="99">
        <f t="shared" si="5"/>
        <v>-179179000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355</v>
      </c>
      <c r="E215" s="99">
        <f t="shared" si="7"/>
        <v>0</v>
      </c>
      <c r="F215" s="99">
        <f t="shared" si="5"/>
        <v>-15975000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355</v>
      </c>
      <c r="E216" s="99">
        <f t="shared" si="7"/>
        <v>1</v>
      </c>
      <c r="F216" s="99">
        <f t="shared" si="5"/>
        <v>354000000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355</v>
      </c>
      <c r="E217" s="99">
        <f t="shared" si="7"/>
        <v>0</v>
      </c>
      <c r="F217" s="99">
        <f t="shared" si="5"/>
        <v>-35500000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354</v>
      </c>
      <c r="E218" s="99">
        <f t="shared" si="7"/>
        <v>0</v>
      </c>
      <c r="F218" s="99">
        <f t="shared" si="5"/>
        <v>-106200000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351</v>
      </c>
      <c r="E219" s="99">
        <f t="shared" si="7"/>
        <v>0</v>
      </c>
      <c r="F219" s="99">
        <f t="shared" si="5"/>
        <v>-17869410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351</v>
      </c>
      <c r="E220" s="99">
        <f t="shared" si="7"/>
        <v>0</v>
      </c>
      <c r="F220" s="99">
        <f t="shared" si="5"/>
        <v>-193225500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349</v>
      </c>
      <c r="E221" s="99">
        <f t="shared" si="7"/>
        <v>1</v>
      </c>
      <c r="F221" s="99">
        <f t="shared" si="5"/>
        <v>556800000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348</v>
      </c>
      <c r="E222" s="99">
        <f t="shared" si="7"/>
        <v>0</v>
      </c>
      <c r="F222" s="99">
        <f t="shared" si="5"/>
        <v>-522243600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343</v>
      </c>
      <c r="E223" s="99">
        <f t="shared" si="7"/>
        <v>1</v>
      </c>
      <c r="F223" s="99">
        <f t="shared" si="5"/>
        <v>2947698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340</v>
      </c>
      <c r="E224" s="99">
        <f t="shared" si="7"/>
        <v>1</v>
      </c>
      <c r="F224" s="99">
        <f t="shared" si="5"/>
        <v>1017000000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338</v>
      </c>
      <c r="E225" s="99">
        <f t="shared" si="7"/>
        <v>0</v>
      </c>
      <c r="F225" s="99">
        <f t="shared" si="5"/>
        <v>-1014304200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337</v>
      </c>
      <c r="E226" s="99">
        <f t="shared" si="7"/>
        <v>1</v>
      </c>
      <c r="F226" s="99">
        <f t="shared" si="5"/>
        <v>1008000000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337</v>
      </c>
      <c r="E227" s="99">
        <f t="shared" si="7"/>
        <v>0</v>
      </c>
      <c r="F227" s="99">
        <f t="shared" si="5"/>
        <v>-59109800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336</v>
      </c>
      <c r="E228" s="99">
        <f t="shared" si="7"/>
        <v>0</v>
      </c>
      <c r="F228" s="99">
        <f t="shared" si="5"/>
        <v>-403368000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336</v>
      </c>
      <c r="E229" s="99">
        <f t="shared" si="7"/>
        <v>0</v>
      </c>
      <c r="F229" s="99">
        <f t="shared" si="5"/>
        <v>-6906480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335</v>
      </c>
      <c r="E230" s="99">
        <f t="shared" si="7"/>
        <v>0</v>
      </c>
      <c r="F230" s="99">
        <f t="shared" si="5"/>
        <v>-339846110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334</v>
      </c>
      <c r="E231" s="99">
        <f t="shared" si="7"/>
        <v>0</v>
      </c>
      <c r="F231" s="99">
        <f t="shared" si="5"/>
        <v>-8091150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333</v>
      </c>
      <c r="E232" s="99">
        <f t="shared" si="7"/>
        <v>1</v>
      </c>
      <c r="F232" s="99">
        <f t="shared" si="5"/>
        <v>365200000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333</v>
      </c>
      <c r="E233" s="99">
        <f t="shared" si="7"/>
        <v>0</v>
      </c>
      <c r="F233" s="99">
        <f t="shared" si="5"/>
        <v>-49250700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329</v>
      </c>
      <c r="E234" s="99">
        <f t="shared" si="7"/>
        <v>0</v>
      </c>
      <c r="F234" s="99">
        <f t="shared" si="5"/>
        <v>-22360485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324</v>
      </c>
      <c r="E235" s="99">
        <f t="shared" si="7"/>
        <v>0</v>
      </c>
      <c r="F235" s="99">
        <f t="shared" si="5"/>
        <v>-37173816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323</v>
      </c>
      <c r="E236" s="99">
        <f t="shared" si="7"/>
        <v>0</v>
      </c>
      <c r="F236" s="99">
        <f t="shared" si="5"/>
        <v>-116280000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323</v>
      </c>
      <c r="E237" s="99">
        <f t="shared" si="7"/>
        <v>0</v>
      </c>
      <c r="F237" s="99">
        <f t="shared" si="5"/>
        <v>-68153000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323</v>
      </c>
      <c r="E238" s="99">
        <f t="shared" si="7"/>
        <v>0</v>
      </c>
      <c r="F238" s="99">
        <f t="shared" si="5"/>
        <v>-61273100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322</v>
      </c>
      <c r="E239" s="99">
        <f t="shared" si="7"/>
        <v>0</v>
      </c>
      <c r="F239" s="99">
        <f t="shared" si="5"/>
        <v>-128961000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322</v>
      </c>
      <c r="E240" s="99">
        <f t="shared" si="7"/>
        <v>1</v>
      </c>
      <c r="F240" s="99">
        <f t="shared" si="5"/>
        <v>128400000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319</v>
      </c>
      <c r="E241" s="99">
        <f t="shared" si="7"/>
        <v>0</v>
      </c>
      <c r="F241" s="99">
        <f t="shared" si="5"/>
        <v>-102359125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312</v>
      </c>
      <c r="E242" s="99">
        <f t="shared" si="7"/>
        <v>1</v>
      </c>
      <c r="F242" s="99">
        <f t="shared" si="5"/>
        <v>1889014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310</v>
      </c>
      <c r="E243" s="99">
        <f t="shared" si="7"/>
        <v>0</v>
      </c>
      <c r="F243" s="99">
        <f t="shared" si="5"/>
        <v>-114855000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295</v>
      </c>
      <c r="E244" s="99">
        <f t="shared" si="7"/>
        <v>1</v>
      </c>
      <c r="F244" s="99">
        <f t="shared" si="5"/>
        <v>882000000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293</v>
      </c>
      <c r="E245" s="99">
        <f t="shared" si="7"/>
        <v>0</v>
      </c>
      <c r="F245" s="99">
        <f t="shared" si="5"/>
        <v>-23440000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292</v>
      </c>
      <c r="E246" s="99">
        <f t="shared" si="7"/>
        <v>0</v>
      </c>
      <c r="F246" s="99">
        <f t="shared" si="5"/>
        <v>-788400000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292</v>
      </c>
      <c r="E247" s="99">
        <f t="shared" si="7"/>
        <v>0</v>
      </c>
      <c r="F247" s="99">
        <f t="shared" si="5"/>
        <v>-8760000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290</v>
      </c>
      <c r="E248" s="99">
        <f t="shared" si="7"/>
        <v>0</v>
      </c>
      <c r="F248" s="99">
        <f t="shared" si="5"/>
        <v>-34800000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289</v>
      </c>
      <c r="E249" s="99">
        <f>IF(B250&gt;0,1,0)</f>
        <v>1</v>
      </c>
      <c r="F249" s="99">
        <f>B250*(D249-E249)</f>
        <v>230400000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288</v>
      </c>
      <c r="E250" s="99">
        <f>IF(B251&gt;0,1,0)</f>
        <v>0</v>
      </c>
      <c r="F250" s="99">
        <f>B251*(D250-E250)</f>
        <v>-5601600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287</v>
      </c>
      <c r="E251" s="99">
        <f>IF(B252&gt;0,1,0)</f>
        <v>0</v>
      </c>
      <c r="F251" s="99">
        <f>B252*(D251-E251)</f>
        <v>-143500000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287</v>
      </c>
      <c r="E252" s="99">
        <f>IF(B253&gt;0,1,0)</f>
        <v>1</v>
      </c>
      <c r="F252" s="99">
        <f>B253*(D252-E252)</f>
        <v>143000000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287</v>
      </c>
      <c r="E253" s="99">
        <f t="shared" ref="E253:E275" si="9">IF(B254&gt;0,1,0)</f>
        <v>0</v>
      </c>
      <c r="F253" s="99">
        <f>B254*(D253-E253)</f>
        <v>-130473931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287</v>
      </c>
      <c r="E254" s="99">
        <f t="shared" si="9"/>
        <v>0</v>
      </c>
      <c r="F254" s="99">
        <f t="shared" ref="F254:F275" si="10">B255*(D254-E254)</f>
        <v>-5625200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286</v>
      </c>
      <c r="E255" s="99">
        <f t="shared" si="9"/>
        <v>0</v>
      </c>
      <c r="F255" s="99">
        <f t="shared" si="10"/>
        <v>-7212920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286</v>
      </c>
      <c r="E256" s="99">
        <f t="shared" si="9"/>
        <v>0</v>
      </c>
      <c r="F256" s="99">
        <f t="shared" si="10"/>
        <v>-42757000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285</v>
      </c>
      <c r="E257" s="99">
        <f t="shared" si="9"/>
        <v>0</v>
      </c>
      <c r="F257" s="99">
        <f t="shared" si="10"/>
        <v>-44175000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285</v>
      </c>
      <c r="E258" s="99">
        <f t="shared" si="9"/>
        <v>0</v>
      </c>
      <c r="F258" s="99">
        <f t="shared" si="10"/>
        <v>-1425000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203</v>
      </c>
      <c r="E259" s="99">
        <f t="shared" si="9"/>
        <v>1</v>
      </c>
      <c r="F259" s="99">
        <f t="shared" si="10"/>
        <v>20200000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121</v>
      </c>
      <c r="E260" s="99">
        <f t="shared" si="9"/>
        <v>1</v>
      </c>
      <c r="F260" s="99">
        <f t="shared" si="10"/>
        <v>360000000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120</v>
      </c>
      <c r="E261" s="99">
        <f t="shared" si="9"/>
        <v>0</v>
      </c>
      <c r="F261" s="99">
        <f t="shared" si="10"/>
        <v>-7980000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117</v>
      </c>
      <c r="E262" s="99">
        <f t="shared" si="9"/>
        <v>0</v>
      </c>
      <c r="F262" s="99">
        <f t="shared" si="10"/>
        <v>-4431726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115</v>
      </c>
      <c r="E263" s="99">
        <f t="shared" si="9"/>
        <v>0</v>
      </c>
      <c r="F263" s="99">
        <f t="shared" si="10"/>
        <v>-4772500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113</v>
      </c>
      <c r="E264" s="99">
        <f t="shared" si="9"/>
        <v>0</v>
      </c>
      <c r="F264" s="99">
        <f t="shared" si="10"/>
        <v>-21470000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110</v>
      </c>
      <c r="E265" s="99">
        <f t="shared" si="9"/>
        <v>0</v>
      </c>
      <c r="F265" s="99">
        <f t="shared" si="10"/>
        <v>-6050000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109</v>
      </c>
      <c r="E266" s="99">
        <f t="shared" si="9"/>
        <v>0</v>
      </c>
      <c r="F266" s="99">
        <f t="shared" si="10"/>
        <v>-3204055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108</v>
      </c>
      <c r="E267" s="99">
        <f t="shared" si="9"/>
        <v>0</v>
      </c>
      <c r="F267" s="99">
        <f t="shared" si="10"/>
        <v>-5400000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106</v>
      </c>
      <c r="E268" s="99">
        <f t="shared" si="9"/>
        <v>0</v>
      </c>
      <c r="F268" s="99">
        <f t="shared" si="10"/>
        <v>-8480000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105</v>
      </c>
      <c r="E269" s="99">
        <f t="shared" si="9"/>
        <v>0</v>
      </c>
      <c r="F269" s="99">
        <f t="shared" si="10"/>
        <v>-10385445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104</v>
      </c>
      <c r="E270" s="99">
        <f t="shared" si="9"/>
        <v>0</v>
      </c>
      <c r="F270" s="99">
        <f t="shared" si="10"/>
        <v>-975520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101</v>
      </c>
      <c r="E271" s="99">
        <f t="shared" si="9"/>
        <v>0</v>
      </c>
      <c r="F271" s="99">
        <f t="shared" si="10"/>
        <v>-242400000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101</v>
      </c>
      <c r="E272" s="99">
        <f t="shared" si="9"/>
        <v>1</v>
      </c>
      <c r="F272" s="99">
        <f t="shared" si="10"/>
        <v>1500000</v>
      </c>
      <c r="G272" s="99"/>
    </row>
    <row r="273" spans="1:11">
      <c r="A273" s="99" t="s">
        <v>4637</v>
      </c>
      <c r="B273" s="113">
        <v>15000</v>
      </c>
      <c r="C273" s="99">
        <v>93</v>
      </c>
      <c r="D273" s="99">
        <f t="shared" si="8"/>
        <v>98</v>
      </c>
      <c r="E273" s="99">
        <f t="shared" si="9"/>
        <v>1</v>
      </c>
      <c r="F273" s="99">
        <f t="shared" si="10"/>
        <v>339500000</v>
      </c>
      <c r="G273" s="99"/>
    </row>
    <row r="274" spans="1:11">
      <c r="A274" s="99" t="s">
        <v>5028</v>
      </c>
      <c r="B274" s="113">
        <v>3500000</v>
      </c>
      <c r="C274" s="99">
        <v>0</v>
      </c>
      <c r="D274" s="99">
        <f t="shared" si="8"/>
        <v>5</v>
      </c>
      <c r="E274" s="99">
        <f t="shared" si="9"/>
        <v>0</v>
      </c>
      <c r="F274" s="99">
        <f t="shared" si="10"/>
        <v>-1120060</v>
      </c>
      <c r="G274" s="99"/>
    </row>
    <row r="275" spans="1:11">
      <c r="A275" s="99" t="s">
        <v>5028</v>
      </c>
      <c r="B275" s="113">
        <v>-224012</v>
      </c>
      <c r="C275" s="99">
        <v>2</v>
      </c>
      <c r="D275" s="99">
        <f t="shared" si="8"/>
        <v>5</v>
      </c>
      <c r="E275" s="99">
        <f t="shared" si="9"/>
        <v>0</v>
      </c>
      <c r="F275" s="99">
        <f t="shared" si="10"/>
        <v>-523355</v>
      </c>
      <c r="G275" s="99"/>
    </row>
    <row r="276" spans="1:11">
      <c r="A276" s="99" t="s">
        <v>5051</v>
      </c>
      <c r="B276" s="113">
        <v>-104671</v>
      </c>
      <c r="C276" s="99">
        <v>1</v>
      </c>
      <c r="D276" s="99">
        <f t="shared" ref="D276:D287" si="11">D277+C276</f>
        <v>3</v>
      </c>
      <c r="E276" s="99">
        <f t="shared" ref="E276:E287" si="12">IF(B277&gt;0,1,0)</f>
        <v>0</v>
      </c>
      <c r="F276" s="99">
        <f t="shared" ref="F276:F287" si="13">B277*(D276-E276)</f>
        <v>-816000</v>
      </c>
      <c r="G276" s="99"/>
    </row>
    <row r="277" spans="1:11">
      <c r="A277" s="99" t="s">
        <v>5053</v>
      </c>
      <c r="B277" s="113">
        <v>-272000</v>
      </c>
      <c r="C277" s="99">
        <v>1</v>
      </c>
      <c r="D277" s="99">
        <f t="shared" si="11"/>
        <v>2</v>
      </c>
      <c r="E277" s="99">
        <f t="shared" si="12"/>
        <v>0</v>
      </c>
      <c r="F277" s="99">
        <f t="shared" si="13"/>
        <v>-5130156</v>
      </c>
      <c r="G277" s="99"/>
    </row>
    <row r="278" spans="1:11">
      <c r="A278" s="99" t="s">
        <v>5055</v>
      </c>
      <c r="B278" s="113">
        <v>-2565078</v>
      </c>
      <c r="C278" s="99">
        <v>1</v>
      </c>
      <c r="D278" s="99">
        <f t="shared" si="11"/>
        <v>1</v>
      </c>
      <c r="E278" s="99">
        <f t="shared" si="12"/>
        <v>0</v>
      </c>
      <c r="F278" s="99">
        <f t="shared" si="13"/>
        <v>0</v>
      </c>
      <c r="G278" s="99"/>
    </row>
    <row r="279" spans="1:11">
      <c r="A279" s="99"/>
      <c r="B279" s="113"/>
      <c r="C279" s="99"/>
      <c r="D279" s="99">
        <f t="shared" si="11"/>
        <v>0</v>
      </c>
      <c r="E279" s="99">
        <f t="shared" si="12"/>
        <v>0</v>
      </c>
      <c r="F279" s="99">
        <f t="shared" si="13"/>
        <v>0</v>
      </c>
      <c r="G279" s="99"/>
    </row>
    <row r="280" spans="1:11">
      <c r="A280" s="99"/>
      <c r="B280" s="113"/>
      <c r="C280" s="99"/>
      <c r="D280" s="99">
        <f t="shared" si="11"/>
        <v>0</v>
      </c>
      <c r="E280" s="99">
        <f t="shared" si="12"/>
        <v>0</v>
      </c>
      <c r="F280" s="99">
        <f t="shared" si="13"/>
        <v>0</v>
      </c>
      <c r="G280" s="99"/>
      <c r="J280" t="s">
        <v>25</v>
      </c>
    </row>
    <row r="281" spans="1:11">
      <c r="A281" s="99"/>
      <c r="B281" s="113"/>
      <c r="C281" s="99"/>
      <c r="D281" s="99">
        <f t="shared" si="11"/>
        <v>0</v>
      </c>
      <c r="E281" s="99">
        <f t="shared" si="12"/>
        <v>0</v>
      </c>
      <c r="F281" s="99">
        <f t="shared" si="13"/>
        <v>0</v>
      </c>
      <c r="G281" s="99"/>
      <c r="J281" t="s">
        <v>25</v>
      </c>
    </row>
    <row r="282" spans="1:11">
      <c r="A282" s="99"/>
      <c r="B282" s="113"/>
      <c r="C282" s="99"/>
      <c r="D282" s="99">
        <f t="shared" si="11"/>
        <v>0</v>
      </c>
      <c r="E282" s="99">
        <f t="shared" si="12"/>
        <v>0</v>
      </c>
      <c r="F282" s="99">
        <f t="shared" si="13"/>
        <v>0</v>
      </c>
      <c r="G282" s="99"/>
    </row>
    <row r="283" spans="1:11">
      <c r="A283" s="99"/>
      <c r="B283" s="113"/>
      <c r="C283" s="99"/>
      <c r="D283" s="99">
        <f t="shared" si="11"/>
        <v>0</v>
      </c>
      <c r="E283" s="99">
        <f t="shared" si="12"/>
        <v>0</v>
      </c>
      <c r="F283" s="99">
        <f t="shared" si="13"/>
        <v>0</v>
      </c>
      <c r="G283" s="99"/>
    </row>
    <row r="284" spans="1:11">
      <c r="A284" s="99"/>
      <c r="B284" s="113"/>
      <c r="C284" s="99"/>
      <c r="D284" s="99">
        <f t="shared" si="11"/>
        <v>0</v>
      </c>
      <c r="E284" s="99">
        <f t="shared" si="12"/>
        <v>0</v>
      </c>
      <c r="F284" s="99">
        <f t="shared" si="13"/>
        <v>0</v>
      </c>
      <c r="G284" s="99"/>
    </row>
    <row r="285" spans="1:11">
      <c r="A285" s="99"/>
      <c r="B285" s="113"/>
      <c r="C285" s="99"/>
      <c r="D285" s="99">
        <f t="shared" si="11"/>
        <v>0</v>
      </c>
      <c r="E285" s="99">
        <f t="shared" si="12"/>
        <v>0</v>
      </c>
      <c r="F285" s="99">
        <f t="shared" si="13"/>
        <v>0</v>
      </c>
      <c r="G285" s="99"/>
      <c r="K285" t="s">
        <v>25</v>
      </c>
    </row>
    <row r="286" spans="1:11">
      <c r="A286" s="99"/>
      <c r="B286" s="113"/>
      <c r="C286" s="99"/>
      <c r="D286" s="99">
        <f t="shared" si="11"/>
        <v>0</v>
      </c>
      <c r="E286" s="99">
        <f t="shared" si="12"/>
        <v>0</v>
      </c>
      <c r="F286" s="99">
        <f t="shared" si="13"/>
        <v>0</v>
      </c>
      <c r="G286" s="99"/>
    </row>
    <row r="287" spans="1:11">
      <c r="A287" s="11"/>
      <c r="B287" s="3">
        <v>0</v>
      </c>
      <c r="C287" s="11">
        <v>0</v>
      </c>
      <c r="D287" s="99">
        <f t="shared" si="11"/>
        <v>0</v>
      </c>
      <c r="E287" s="99">
        <f t="shared" si="12"/>
        <v>0</v>
      </c>
      <c r="F287" s="99">
        <f t="shared" si="13"/>
        <v>0</v>
      </c>
      <c r="G287" s="11"/>
    </row>
    <row r="288" spans="1:11">
      <c r="A288" s="11"/>
      <c r="B288" s="3"/>
      <c r="C288" s="11"/>
      <c r="D288" s="99"/>
      <c r="E288" s="99"/>
      <c r="F288" s="99"/>
      <c r="G288" s="11"/>
    </row>
    <row r="289" spans="1:7">
      <c r="A289" s="11"/>
      <c r="B289" s="29">
        <f>SUM(B2:B287)</f>
        <v>390976</v>
      </c>
      <c r="C289" s="11"/>
      <c r="D289" s="11"/>
      <c r="E289" s="11"/>
      <c r="F289" s="29">
        <f>SUM(F2:F287)</f>
        <v>19234486096</v>
      </c>
      <c r="G289" s="11"/>
    </row>
    <row r="290" spans="1:7">
      <c r="A290" s="11"/>
      <c r="B290" s="11" t="s">
        <v>6</v>
      </c>
      <c r="C290" s="11"/>
      <c r="D290" s="11"/>
      <c r="E290" s="11"/>
      <c r="F290" s="11" t="s">
        <v>284</v>
      </c>
      <c r="G290" s="11"/>
    </row>
    <row r="291" spans="1:7">
      <c r="A291" s="11"/>
      <c r="B291" s="11"/>
      <c r="C291" s="11"/>
      <c r="D291" s="11"/>
      <c r="E291" s="11"/>
      <c r="F291" s="11"/>
      <c r="G291" s="11"/>
    </row>
    <row r="292" spans="1:7">
      <c r="A292" s="11"/>
      <c r="B292" s="11"/>
      <c r="C292" s="11"/>
      <c r="D292" s="11"/>
      <c r="E292" s="11"/>
      <c r="F292" s="3">
        <f>F289/D2</f>
        <v>18111568.828625236</v>
      </c>
      <c r="G292" s="11"/>
    </row>
    <row r="293" spans="1:7">
      <c r="A293" s="11"/>
      <c r="B293" s="11"/>
      <c r="C293" s="11"/>
      <c r="D293" s="11"/>
      <c r="E293" s="11"/>
      <c r="F293" s="11" t="s">
        <v>286</v>
      </c>
      <c r="G293" s="11"/>
    </row>
    <row r="298" spans="1:7">
      <c r="D298" t="s">
        <v>25</v>
      </c>
    </row>
    <row r="299" spans="1:7">
      <c r="B299" s="7"/>
    </row>
    <row r="301" spans="1:7" ht="75">
      <c r="E301" s="2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N9" sqref="N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4788</v>
      </c>
      <c r="L15">
        <v>451474</v>
      </c>
      <c r="M15" s="249" t="s">
        <v>5003</v>
      </c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4933</v>
      </c>
      <c r="B193" s="38">
        <v>-25000</v>
      </c>
      <c r="C193" s="11" t="s">
        <v>4943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3"/>
  <sheetViews>
    <sheetView tabSelected="1" topLeftCell="M34" zoomScaleNormal="100" workbookViewId="0">
      <selection activeCell="P59" sqref="P5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4868</v>
      </c>
      <c r="AT10" s="73" t="s">
        <v>4871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4894</v>
      </c>
      <c r="AT11" s="73" t="s">
        <v>4895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4965</v>
      </c>
      <c r="AT12" s="73" t="s">
        <v>4966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ایلیا'!B289</f>
        <v>390976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4967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 t="s">
        <v>25</v>
      </c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2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S94</f>
        <v>220</v>
      </c>
      <c r="T20" s="168" t="s">
        <v>4309</v>
      </c>
      <c r="U20" s="168">
        <v>192.1</v>
      </c>
      <c r="V20" s="168">
        <f t="shared" ref="V20:V58" si="6">U20*(1+$N$89+$Q$15*S20/36500)</f>
        <v>226.67168438356165</v>
      </c>
      <c r="W20" s="32">
        <f t="shared" ref="W20:W33" si="7">V20*(1+$W$19/100)</f>
        <v>231.2051180712329</v>
      </c>
      <c r="X20" s="32">
        <f t="shared" ref="X20:X33" si="8">V20*(1+$X$19/100)</f>
        <v>235.73855175890412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-N36</f>
        <v>546312630.59576154</v>
      </c>
      <c r="M21" s="168" t="s">
        <v>4301</v>
      </c>
      <c r="N21" s="113">
        <f t="shared" ref="N21:N26" si="9">O21*P21</f>
        <v>32500206.5</v>
      </c>
      <c r="O21" s="99">
        <v>163729</v>
      </c>
      <c r="P21" s="186">
        <f>P57</f>
        <v>198.5</v>
      </c>
      <c r="Q21" s="169">
        <v>595156</v>
      </c>
      <c r="R21" s="168" t="s">
        <v>4393</v>
      </c>
      <c r="S21" s="193">
        <f>S20-52</f>
        <v>168</v>
      </c>
      <c r="T21" s="168" t="s">
        <v>4396</v>
      </c>
      <c r="U21" s="168">
        <v>5808.5</v>
      </c>
      <c r="V21" s="168">
        <f t="shared" si="6"/>
        <v>6622.1355835616441</v>
      </c>
      <c r="W21" s="32">
        <f t="shared" si="7"/>
        <v>6754.5782952328773</v>
      </c>
      <c r="X21" s="32">
        <f t="shared" si="8"/>
        <v>6887.0210069041104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-4651124</v>
      </c>
      <c r="M22" s="168" t="s">
        <v>4391</v>
      </c>
      <c r="N22" s="113">
        <f t="shared" si="9"/>
        <v>132174198</v>
      </c>
      <c r="O22" s="99">
        <v>34801</v>
      </c>
      <c r="P22" s="186">
        <f>P46</f>
        <v>3798</v>
      </c>
      <c r="Q22" s="169">
        <v>1484689</v>
      </c>
      <c r="R22" s="168" t="s">
        <v>4430</v>
      </c>
      <c r="S22" s="168">
        <f>S21-7</f>
        <v>161</v>
      </c>
      <c r="T22" s="19" t="s">
        <v>4433</v>
      </c>
      <c r="U22" s="168">
        <v>5474</v>
      </c>
      <c r="V22" s="168">
        <f t="shared" si="6"/>
        <v>6211.3852931506854</v>
      </c>
      <c r="W22" s="32">
        <f t="shared" si="7"/>
        <v>6335.6129990136988</v>
      </c>
      <c r="X22" s="32">
        <f t="shared" si="8"/>
        <v>6459.8407048767131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1264828.8</v>
      </c>
      <c r="O23" s="99">
        <v>8808</v>
      </c>
      <c r="P23" s="186">
        <f>P48</f>
        <v>143.6</v>
      </c>
      <c r="Q23" s="169">
        <v>2197673</v>
      </c>
      <c r="R23" s="168" t="s">
        <v>4430</v>
      </c>
      <c r="S23" s="168">
        <f>S22</f>
        <v>161</v>
      </c>
      <c r="T23" s="19" t="s">
        <v>4434</v>
      </c>
      <c r="U23" s="168">
        <v>5349</v>
      </c>
      <c r="V23" s="168">
        <f t="shared" si="6"/>
        <v>6069.5469369863013</v>
      </c>
      <c r="W23" s="32">
        <f>V23*(1+$W$19/100)</f>
        <v>6190.9378757260274</v>
      </c>
      <c r="X23" s="32">
        <f t="shared" si="8"/>
        <v>6312.3288144657536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L69</f>
        <v>500417255.59576154</v>
      </c>
      <c r="G24" s="95">
        <f t="shared" si="0"/>
        <v>-220110910.2138229</v>
      </c>
      <c r="H24" s="11"/>
      <c r="I24" s="96"/>
      <c r="J24" s="96"/>
      <c r="K24" s="215"/>
      <c r="L24" s="117"/>
      <c r="M24" s="215" t="s">
        <v>4410</v>
      </c>
      <c r="N24" s="113">
        <f t="shared" si="9"/>
        <v>106221139.60000001</v>
      </c>
      <c r="O24" s="99">
        <v>154706</v>
      </c>
      <c r="P24" s="186">
        <f>P51</f>
        <v>686.6</v>
      </c>
      <c r="Q24" s="169">
        <v>1353959</v>
      </c>
      <c r="R24" s="168" t="s">
        <v>4430</v>
      </c>
      <c r="S24" s="199">
        <f>S23</f>
        <v>161</v>
      </c>
      <c r="T24" s="19" t="s">
        <v>4476</v>
      </c>
      <c r="U24" s="168">
        <v>192.2</v>
      </c>
      <c r="V24" s="168">
        <f t="shared" si="6"/>
        <v>218.09065643835615</v>
      </c>
      <c r="W24" s="32">
        <f t="shared" si="7"/>
        <v>222.45246956712327</v>
      </c>
      <c r="X24" s="32">
        <f t="shared" si="8"/>
        <v>226.8142826958904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4538</v>
      </c>
      <c r="N25" s="113">
        <f t="shared" si="9"/>
        <v>97516669</v>
      </c>
      <c r="O25" s="99">
        <v>20491</v>
      </c>
      <c r="P25" s="186">
        <f>P52</f>
        <v>4759</v>
      </c>
      <c r="Q25" s="169">
        <v>1614398</v>
      </c>
      <c r="R25" s="168" t="s">
        <v>4438</v>
      </c>
      <c r="S25" s="168">
        <f>S24-3</f>
        <v>158</v>
      </c>
      <c r="T25" s="19" t="s">
        <v>4509</v>
      </c>
      <c r="U25" s="168">
        <v>184.6</v>
      </c>
      <c r="V25" s="168">
        <f t="shared" si="6"/>
        <v>209.0420515068493</v>
      </c>
      <c r="W25" s="32">
        <f t="shared" si="7"/>
        <v>213.22289253698631</v>
      </c>
      <c r="X25" s="32">
        <f t="shared" si="8"/>
        <v>217.40373356712328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 t="s">
        <v>456</v>
      </c>
      <c r="L26" s="117">
        <v>500000</v>
      </c>
      <c r="M26" s="168" t="s">
        <v>4395</v>
      </c>
      <c r="N26" s="113">
        <f t="shared" si="9"/>
        <v>11582573.6</v>
      </c>
      <c r="O26" s="99">
        <v>1828</v>
      </c>
      <c r="P26" s="99">
        <f>P50</f>
        <v>6336.2</v>
      </c>
      <c r="Q26" s="169">
        <v>133576</v>
      </c>
      <c r="R26" s="168" t="s">
        <v>4516</v>
      </c>
      <c r="S26" s="198">
        <f>S25-22</f>
        <v>136</v>
      </c>
      <c r="T26" s="168" t="s">
        <v>4517</v>
      </c>
      <c r="U26" s="168">
        <v>166.2</v>
      </c>
      <c r="V26" s="168">
        <f t="shared" si="6"/>
        <v>185.40088109589044</v>
      </c>
      <c r="W26" s="32">
        <f t="shared" si="7"/>
        <v>189.10889871780824</v>
      </c>
      <c r="X26" s="32">
        <f t="shared" si="8"/>
        <v>192.81691633972608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68"/>
      <c r="N27" s="113"/>
      <c r="O27" s="69" t="s">
        <v>25</v>
      </c>
      <c r="P27" s="99"/>
      <c r="Q27" s="169">
        <v>220803</v>
      </c>
      <c r="R27" s="168" t="s">
        <v>4231</v>
      </c>
      <c r="S27" s="198">
        <f>S26-1</f>
        <v>135</v>
      </c>
      <c r="T27" s="168" t="s">
        <v>4523</v>
      </c>
      <c r="U27" s="168">
        <v>166</v>
      </c>
      <c r="V27" s="168">
        <f t="shared" si="6"/>
        <v>185.05043287671234</v>
      </c>
      <c r="W27" s="32">
        <f t="shared" si="7"/>
        <v>188.7514415342466</v>
      </c>
      <c r="X27" s="32">
        <f t="shared" si="8"/>
        <v>192.45245019178083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4460</v>
      </c>
      <c r="N28" s="113">
        <v>4531</v>
      </c>
      <c r="O28" s="69" t="s">
        <v>25</v>
      </c>
      <c r="P28" s="99" t="s">
        <v>25</v>
      </c>
      <c r="Q28" s="169">
        <v>1023940</v>
      </c>
      <c r="R28" s="168" t="s">
        <v>4524</v>
      </c>
      <c r="S28" s="198">
        <f>S27-2</f>
        <v>133</v>
      </c>
      <c r="T28" s="168" t="s">
        <v>4530</v>
      </c>
      <c r="U28" s="168">
        <v>160.19999999999999</v>
      </c>
      <c r="V28" s="168">
        <f t="shared" si="6"/>
        <v>178.33902904109587</v>
      </c>
      <c r="W28" s="32">
        <f t="shared" si="7"/>
        <v>181.9058096219178</v>
      </c>
      <c r="X28" s="32">
        <f t="shared" si="8"/>
        <v>185.47259020273972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/>
      <c r="L29" s="117"/>
      <c r="M29" s="190" t="s">
        <v>4395</v>
      </c>
      <c r="N29" s="113">
        <f t="shared" ref="N29:N33" si="13">O29*P29</f>
        <v>6634001.3999999994</v>
      </c>
      <c r="O29" s="69">
        <v>1047</v>
      </c>
      <c r="P29" s="99">
        <f>P50</f>
        <v>6336.2</v>
      </c>
      <c r="Q29" s="169">
        <v>168846</v>
      </c>
      <c r="R29" s="168" t="s">
        <v>3691</v>
      </c>
      <c r="S29" s="198">
        <f>S28-28</f>
        <v>105</v>
      </c>
      <c r="T29" s="168" t="s">
        <v>4622</v>
      </c>
      <c r="U29" s="168">
        <v>172.2</v>
      </c>
      <c r="V29" s="168">
        <f t="shared" si="6"/>
        <v>187.99899616438356</v>
      </c>
      <c r="W29" s="32">
        <f t="shared" si="7"/>
        <v>191.75897608767124</v>
      </c>
      <c r="X29" s="32">
        <f t="shared" si="8"/>
        <v>195.5189560109589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5"/>
      <c r="L30" s="117"/>
      <c r="M30" s="190" t="s">
        <v>4391</v>
      </c>
      <c r="N30" s="113">
        <f t="shared" si="13"/>
        <v>4766490</v>
      </c>
      <c r="O30" s="69">
        <v>1255</v>
      </c>
      <c r="P30" s="99">
        <f>P46</f>
        <v>3798</v>
      </c>
      <c r="Q30" s="169">
        <v>250962</v>
      </c>
      <c r="R30" s="168" t="s">
        <v>4664</v>
      </c>
      <c r="S30" s="198">
        <f>S29-10</f>
        <v>95</v>
      </c>
      <c r="T30" s="168" t="s">
        <v>4665</v>
      </c>
      <c r="U30" s="168">
        <v>5315.5</v>
      </c>
      <c r="V30" s="168">
        <f t="shared" si="6"/>
        <v>5762.4097643835612</v>
      </c>
      <c r="W30" s="32">
        <f t="shared" si="7"/>
        <v>5877.6579596712327</v>
      </c>
      <c r="X30" s="32">
        <f t="shared" si="8"/>
        <v>5992.9061549589042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215"/>
      <c r="L31" s="117"/>
      <c r="M31" s="190" t="s">
        <v>4410</v>
      </c>
      <c r="N31" s="113">
        <f t="shared" si="13"/>
        <v>661195.80000000005</v>
      </c>
      <c r="O31" s="69">
        <v>963</v>
      </c>
      <c r="P31" s="99">
        <f>P51</f>
        <v>686.6</v>
      </c>
      <c r="Q31" s="169">
        <v>350718</v>
      </c>
      <c r="R31" s="215" t="s">
        <v>4712</v>
      </c>
      <c r="S31" s="198">
        <f>S30-7</f>
        <v>88</v>
      </c>
      <c r="T31" s="215" t="s">
        <v>4713</v>
      </c>
      <c r="U31" s="215">
        <v>502.3</v>
      </c>
      <c r="V31" s="215">
        <f t="shared" si="6"/>
        <v>541.83445041095899</v>
      </c>
      <c r="W31" s="32">
        <f t="shared" si="7"/>
        <v>552.67113941917819</v>
      </c>
      <c r="X31" s="32">
        <f t="shared" si="8"/>
        <v>563.50782842739738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215"/>
      <c r="L32" s="117"/>
      <c r="M32" s="190" t="s">
        <v>4538</v>
      </c>
      <c r="N32" s="113">
        <f t="shared" si="13"/>
        <v>690055</v>
      </c>
      <c r="O32" s="69">
        <v>145</v>
      </c>
      <c r="P32" s="99">
        <f>P52</f>
        <v>4759</v>
      </c>
      <c r="Q32" s="169">
        <v>17953742</v>
      </c>
      <c r="R32" s="215" t="s">
        <v>3684</v>
      </c>
      <c r="S32" s="198">
        <f>S31-15</f>
        <v>73</v>
      </c>
      <c r="T32" s="215" t="s">
        <v>4760</v>
      </c>
      <c r="U32" s="215">
        <v>486.4</v>
      </c>
      <c r="V32" s="215">
        <f t="shared" si="6"/>
        <v>519.08608000000004</v>
      </c>
      <c r="W32" s="32">
        <f t="shared" si="7"/>
        <v>529.46780160000003</v>
      </c>
      <c r="X32" s="32">
        <f t="shared" si="8"/>
        <v>539.84952320000002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90" t="s">
        <v>4439</v>
      </c>
      <c r="N33" s="113">
        <f t="shared" si="13"/>
        <v>26032679.5</v>
      </c>
      <c r="O33" s="69">
        <v>131147</v>
      </c>
      <c r="P33" s="99">
        <f>P57</f>
        <v>198.5</v>
      </c>
      <c r="Q33" s="169">
        <v>9566181</v>
      </c>
      <c r="R33" s="215" t="s">
        <v>4761</v>
      </c>
      <c r="S33" s="198">
        <f>S32-1</f>
        <v>72</v>
      </c>
      <c r="T33" s="215" t="s">
        <v>4762</v>
      </c>
      <c r="U33" s="215">
        <v>476.1</v>
      </c>
      <c r="V33" s="215">
        <f t="shared" si="6"/>
        <v>507.72869260273978</v>
      </c>
      <c r="W33" s="32">
        <f t="shared" si="7"/>
        <v>517.88326645479458</v>
      </c>
      <c r="X33" s="32">
        <f t="shared" si="8"/>
        <v>528.03784030684938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25</v>
      </c>
      <c r="L34" s="117"/>
      <c r="M34" s="168"/>
      <c r="N34" s="113"/>
      <c r="P34" t="s">
        <v>25</v>
      </c>
      <c r="Q34" s="169">
        <v>10881161</v>
      </c>
      <c r="R34" s="215" t="s">
        <v>4761</v>
      </c>
      <c r="S34" s="198">
        <f>S33</f>
        <v>72</v>
      </c>
      <c r="T34" s="215" t="s">
        <v>4763</v>
      </c>
      <c r="U34" s="215">
        <v>3095</v>
      </c>
      <c r="V34" s="215">
        <f t="shared" si="6"/>
        <v>3300.6097534246574</v>
      </c>
      <c r="W34" s="32">
        <f t="shared" ref="W34:W58" si="14">V34*(1+$W$19/100)</f>
        <v>3366.6219484931507</v>
      </c>
      <c r="X34" s="32">
        <f t="shared" ref="X34:X58" si="15">V34*(1+$X$19/100)</f>
        <v>3432.6341435616437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 t="s">
        <v>25</v>
      </c>
      <c r="L35" s="117"/>
      <c r="M35" s="168" t="s">
        <v>756</v>
      </c>
      <c r="N35" s="113">
        <v>3000000</v>
      </c>
      <c r="O35" t="s">
        <v>25</v>
      </c>
      <c r="P35" t="s">
        <v>25</v>
      </c>
      <c r="Q35" s="169">
        <v>1563192</v>
      </c>
      <c r="R35" s="215" t="s">
        <v>4761</v>
      </c>
      <c r="S35" s="198">
        <f>S34</f>
        <v>72</v>
      </c>
      <c r="T35" s="215" t="s">
        <v>4764</v>
      </c>
      <c r="U35" s="215">
        <v>168.8</v>
      </c>
      <c r="V35" s="215">
        <f t="shared" si="6"/>
        <v>180.01386958904112</v>
      </c>
      <c r="W35" s="32">
        <f t="shared" si="14"/>
        <v>183.61414698082194</v>
      </c>
      <c r="X35" s="32">
        <f t="shared" si="15"/>
        <v>187.21442437260276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918</v>
      </c>
      <c r="L36" s="117">
        <v>4800000</v>
      </c>
      <c r="M36" s="168" t="s">
        <v>4149</v>
      </c>
      <c r="N36" s="113">
        <f>-S185</f>
        <v>-546312630.59576154</v>
      </c>
      <c r="O36" s="96" t="s">
        <v>25</v>
      </c>
      <c r="P36" s="96" t="s">
        <v>25</v>
      </c>
      <c r="Q36" s="169">
        <v>5021554</v>
      </c>
      <c r="R36" s="215" t="s">
        <v>4761</v>
      </c>
      <c r="S36" s="198">
        <f>S35</f>
        <v>72</v>
      </c>
      <c r="T36" s="215" t="s">
        <v>4765</v>
      </c>
      <c r="U36" s="215">
        <v>3859.8</v>
      </c>
      <c r="V36" s="215">
        <f t="shared" si="6"/>
        <v>4116.2176175342465</v>
      </c>
      <c r="W36" s="32">
        <f t="shared" si="14"/>
        <v>4198.5419698849319</v>
      </c>
      <c r="X36" s="32">
        <f t="shared" si="15"/>
        <v>4280.8663222356163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/>
      <c r="L37" s="117"/>
      <c r="M37" s="168" t="s">
        <v>753</v>
      </c>
      <c r="N37" s="113">
        <v>500000</v>
      </c>
      <c r="O37" s="96" t="s">
        <v>25</v>
      </c>
      <c r="P37" s="122" t="s">
        <v>25</v>
      </c>
      <c r="Q37" s="169">
        <v>10206388</v>
      </c>
      <c r="R37" s="215" t="s">
        <v>4771</v>
      </c>
      <c r="S37" s="198">
        <f>S36-1</f>
        <v>71</v>
      </c>
      <c r="T37" s="215" t="s">
        <v>4774</v>
      </c>
      <c r="U37" s="215">
        <v>3099.2</v>
      </c>
      <c r="V37" s="215">
        <f t="shared" si="6"/>
        <v>3302.7113030136989</v>
      </c>
      <c r="W37" s="32">
        <f t="shared" si="14"/>
        <v>3368.7655290739731</v>
      </c>
      <c r="X37" s="32">
        <f t="shared" si="15"/>
        <v>3434.8197551342469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1086</v>
      </c>
      <c r="L38" s="117">
        <f>'خرید و فروش سکه فیزیکی'!M48*10*P58</f>
        <v>0</v>
      </c>
      <c r="M38" s="168" t="s">
        <v>760</v>
      </c>
      <c r="N38" s="113">
        <v>1200000</v>
      </c>
      <c r="P38" t="s">
        <v>25</v>
      </c>
      <c r="Q38" s="169">
        <v>13402013</v>
      </c>
      <c r="R38" s="215" t="s">
        <v>4771</v>
      </c>
      <c r="S38" s="198">
        <f>S37</f>
        <v>71</v>
      </c>
      <c r="T38" s="215" t="s">
        <v>4775</v>
      </c>
      <c r="U38" s="215">
        <v>3853.3</v>
      </c>
      <c r="V38" s="215">
        <f t="shared" si="6"/>
        <v>4106.3298476712334</v>
      </c>
      <c r="W38" s="32">
        <f t="shared" si="14"/>
        <v>4188.4564446246586</v>
      </c>
      <c r="X38" s="32">
        <f t="shared" si="15"/>
        <v>4270.5830415780829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4825</v>
      </c>
      <c r="L39" s="117">
        <v>-47500000</v>
      </c>
      <c r="M39" s="73"/>
      <c r="N39" s="113"/>
      <c r="O39" s="96" t="s">
        <v>25</v>
      </c>
      <c r="P39" s="96" t="s">
        <v>25</v>
      </c>
      <c r="Q39" s="169">
        <v>138358</v>
      </c>
      <c r="R39" s="215" t="s">
        <v>4780</v>
      </c>
      <c r="S39" s="198">
        <f>S38-1</f>
        <v>70</v>
      </c>
      <c r="T39" s="215" t="s">
        <v>4781</v>
      </c>
      <c r="U39" s="215">
        <v>3130</v>
      </c>
      <c r="V39" s="215">
        <f t="shared" si="6"/>
        <v>3333.1327123287679</v>
      </c>
      <c r="W39" s="32">
        <f t="shared" si="14"/>
        <v>3399.7953665753435</v>
      </c>
      <c r="X39" s="32">
        <f t="shared" si="15"/>
        <v>3466.4580208219186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1086</v>
      </c>
      <c r="N40" s="113">
        <f>('خرید و فروش سکه فیزیکی'!M47+3)*10*P58</f>
        <v>15780000</v>
      </c>
      <c r="O40" s="96"/>
      <c r="P40" s="96" t="s">
        <v>25</v>
      </c>
      <c r="Q40" s="169">
        <v>3377001</v>
      </c>
      <c r="R40" s="215" t="s">
        <v>4789</v>
      </c>
      <c r="S40" s="198">
        <f>S39-4</f>
        <v>66</v>
      </c>
      <c r="T40" s="215" t="s">
        <v>4795</v>
      </c>
      <c r="U40" s="215">
        <v>3324.8</v>
      </c>
      <c r="V40" s="215">
        <f t="shared" si="6"/>
        <v>3530.3728394520554</v>
      </c>
      <c r="W40" s="32">
        <f t="shared" si="14"/>
        <v>3600.9802962410963</v>
      </c>
      <c r="X40" s="32">
        <f t="shared" si="15"/>
        <v>3671.5877530301377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 ht="16.5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/>
      <c r="L41" s="117"/>
      <c r="M41" s="168" t="s">
        <v>4824</v>
      </c>
      <c r="N41" s="113">
        <v>-18000000</v>
      </c>
      <c r="O41" s="247" t="s">
        <v>25</v>
      </c>
      <c r="P41" s="114"/>
      <c r="Q41" s="169">
        <v>63610880</v>
      </c>
      <c r="R41" s="215" t="s">
        <v>4789</v>
      </c>
      <c r="S41" s="198">
        <f>S40</f>
        <v>66</v>
      </c>
      <c r="T41" s="215" t="s">
        <v>4793</v>
      </c>
      <c r="U41" s="215">
        <v>4176.3</v>
      </c>
      <c r="V41" s="215">
        <f t="shared" si="6"/>
        <v>4434.5212010958912</v>
      </c>
      <c r="W41" s="32">
        <f t="shared" si="14"/>
        <v>4523.2116251178095</v>
      </c>
      <c r="X41" s="32">
        <f t="shared" si="15"/>
        <v>4611.9020491397268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/>
      <c r="L42" s="117"/>
      <c r="M42" s="168" t="s">
        <v>4826</v>
      </c>
      <c r="N42" s="113">
        <v>-47000000</v>
      </c>
      <c r="O42" s="96"/>
      <c r="P42" s="96" t="s">
        <v>25</v>
      </c>
      <c r="Q42" s="169">
        <v>15499033</v>
      </c>
      <c r="R42" s="215" t="s">
        <v>4789</v>
      </c>
      <c r="S42" s="198">
        <f>S41</f>
        <v>66</v>
      </c>
      <c r="T42" s="215" t="s">
        <v>4794</v>
      </c>
      <c r="U42" s="215">
        <v>525.1</v>
      </c>
      <c r="V42" s="215">
        <f t="shared" si="6"/>
        <v>557.56700493150697</v>
      </c>
      <c r="W42" s="32">
        <f t="shared" si="14"/>
        <v>568.71834503013713</v>
      </c>
      <c r="X42" s="32">
        <f t="shared" si="15"/>
        <v>579.86968512876729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99"/>
      <c r="L43" s="117"/>
      <c r="M43" s="168"/>
      <c r="N43" s="113"/>
      <c r="O43" s="96"/>
      <c r="P43" s="96" t="s">
        <v>25</v>
      </c>
      <c r="Q43" s="169">
        <v>30673673</v>
      </c>
      <c r="R43" s="215" t="s">
        <v>4799</v>
      </c>
      <c r="S43" s="198">
        <f>S42-1</f>
        <v>65</v>
      </c>
      <c r="T43" s="215" t="s">
        <v>4804</v>
      </c>
      <c r="U43" s="215">
        <v>529.79999999999995</v>
      </c>
      <c r="V43" s="215">
        <f t="shared" si="6"/>
        <v>562.15118465753426</v>
      </c>
      <c r="W43" s="32">
        <f t="shared" si="14"/>
        <v>573.39420835068495</v>
      </c>
      <c r="X43" s="32">
        <f t="shared" si="15"/>
        <v>584.63723204383564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99" t="s">
        <v>5073</v>
      </c>
      <c r="L44" s="117">
        <v>-500000</v>
      </c>
      <c r="M44" s="168" t="s">
        <v>4459</v>
      </c>
      <c r="N44" s="113">
        <v>2773</v>
      </c>
      <c r="P44" t="s">
        <v>25</v>
      </c>
      <c r="Q44" s="169">
        <v>5420397</v>
      </c>
      <c r="R44" s="215" t="s">
        <v>4799</v>
      </c>
      <c r="S44" s="198">
        <f>S43</f>
        <v>65</v>
      </c>
      <c r="T44" s="215" t="s">
        <v>4805</v>
      </c>
      <c r="U44" s="215">
        <v>5395.9</v>
      </c>
      <c r="V44" s="215">
        <f t="shared" si="6"/>
        <v>5725.3899156164389</v>
      </c>
      <c r="W44" s="32">
        <f t="shared" si="14"/>
        <v>5839.8977139287681</v>
      </c>
      <c r="X44" s="32">
        <f t="shared" si="15"/>
        <v>5954.4055122410964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56"/>
      <c r="L45" s="117"/>
      <c r="M45" s="168"/>
      <c r="N45" s="113"/>
      <c r="O45" s="99"/>
      <c r="P45" s="99"/>
      <c r="Q45" s="169">
        <v>38533873</v>
      </c>
      <c r="R45" s="215" t="s">
        <v>4799</v>
      </c>
      <c r="S45" s="198">
        <f>S44</f>
        <v>65</v>
      </c>
      <c r="T45" s="215" t="s">
        <v>4806</v>
      </c>
      <c r="U45" s="215">
        <v>3355.8</v>
      </c>
      <c r="V45" s="215">
        <f t="shared" si="6"/>
        <v>3560.715261369864</v>
      </c>
      <c r="W45" s="32">
        <f t="shared" si="14"/>
        <v>3631.9295665972613</v>
      </c>
      <c r="X45" s="32">
        <f t="shared" si="15"/>
        <v>3703.1438718246586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56"/>
      <c r="L46" s="117"/>
      <c r="M46" s="206" t="s">
        <v>4391</v>
      </c>
      <c r="N46" s="113">
        <f>O46*P46</f>
        <v>123678072</v>
      </c>
      <c r="O46" s="99">
        <v>32564</v>
      </c>
      <c r="P46" s="99">
        <v>3798</v>
      </c>
      <c r="Q46" s="169">
        <v>1018599</v>
      </c>
      <c r="R46" s="215" t="s">
        <v>4901</v>
      </c>
      <c r="S46" s="198">
        <f>S45-19</f>
        <v>46</v>
      </c>
      <c r="T46" s="215" t="s">
        <v>4903</v>
      </c>
      <c r="U46" s="215">
        <v>4155.3</v>
      </c>
      <c r="V46" s="215">
        <f t="shared" si="6"/>
        <v>4348.4702202739727</v>
      </c>
      <c r="W46" s="32">
        <f t="shared" si="14"/>
        <v>4435.4396246794522</v>
      </c>
      <c r="X46" s="32">
        <f t="shared" si="15"/>
        <v>4522.4090290849317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21" t="s">
        <v>4583</v>
      </c>
      <c r="N47" s="117">
        <f t="shared" ref="N47:N58" si="16">O47*P47</f>
        <v>869800</v>
      </c>
      <c r="O47" s="69">
        <v>2000</v>
      </c>
      <c r="P47" s="69">
        <v>434.9</v>
      </c>
      <c r="Q47" s="169">
        <v>1001132</v>
      </c>
      <c r="R47" s="215" t="s">
        <v>4901</v>
      </c>
      <c r="S47" s="198">
        <f>S46</f>
        <v>46</v>
      </c>
      <c r="T47" s="215" t="s">
        <v>4904</v>
      </c>
      <c r="U47" s="215">
        <v>113.1</v>
      </c>
      <c r="V47" s="215">
        <f t="shared" si="6"/>
        <v>118.35775561643835</v>
      </c>
      <c r="W47" s="32">
        <f t="shared" si="14"/>
        <v>120.72491072876713</v>
      </c>
      <c r="X47" s="32">
        <f t="shared" si="15"/>
        <v>123.09206584109589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21" t="s">
        <v>4539</v>
      </c>
      <c r="N48" s="117">
        <f t="shared" si="16"/>
        <v>127516.79999999999</v>
      </c>
      <c r="O48" s="69">
        <v>888</v>
      </c>
      <c r="P48" s="69">
        <v>143.6</v>
      </c>
      <c r="Q48" s="169">
        <v>5809833</v>
      </c>
      <c r="R48" s="215" t="s">
        <v>4920</v>
      </c>
      <c r="S48" s="198">
        <f>S47-2</f>
        <v>44</v>
      </c>
      <c r="T48" s="215" t="s">
        <v>4924</v>
      </c>
      <c r="U48" s="215">
        <v>587.29999999999995</v>
      </c>
      <c r="V48" s="215">
        <f t="shared" si="6"/>
        <v>613.70114630136982</v>
      </c>
      <c r="W48" s="32">
        <f t="shared" si="14"/>
        <v>625.97516922739726</v>
      </c>
      <c r="X48" s="32">
        <f t="shared" si="15"/>
        <v>638.24919215342459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21" t="s">
        <v>4569</v>
      </c>
      <c r="N49" s="117">
        <f t="shared" si="16"/>
        <v>64004.999999999993</v>
      </c>
      <c r="O49" s="69">
        <v>50</v>
      </c>
      <c r="P49" s="69">
        <v>1280.0999999999999</v>
      </c>
      <c r="Q49" s="169">
        <v>22263826</v>
      </c>
      <c r="R49" s="215" t="s">
        <v>4920</v>
      </c>
      <c r="S49" s="198">
        <f>S48</f>
        <v>44</v>
      </c>
      <c r="T49" s="215" t="s">
        <v>4925</v>
      </c>
      <c r="U49" s="215">
        <v>3560</v>
      </c>
      <c r="V49" s="215">
        <f t="shared" si="6"/>
        <v>3720.0341917808219</v>
      </c>
      <c r="W49" s="32">
        <f t="shared" si="14"/>
        <v>3794.4348756164381</v>
      </c>
      <c r="X49" s="32">
        <f t="shared" si="15"/>
        <v>3868.8355594520549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19" t="s">
        <v>4395</v>
      </c>
      <c r="N50" s="113">
        <f t="shared" si="16"/>
        <v>210602615.59999999</v>
      </c>
      <c r="O50" s="69">
        <v>33238</v>
      </c>
      <c r="P50" s="69">
        <v>6336.2</v>
      </c>
      <c r="Q50" s="169">
        <v>112288</v>
      </c>
      <c r="R50" s="215" t="s">
        <v>981</v>
      </c>
      <c r="S50" s="198">
        <f>S49-1</f>
        <v>43</v>
      </c>
      <c r="T50" s="215" t="s">
        <v>4928</v>
      </c>
      <c r="U50" s="215">
        <v>3605.5</v>
      </c>
      <c r="V50" s="215">
        <f t="shared" si="6"/>
        <v>3764.8137095890415</v>
      </c>
      <c r="W50" s="32">
        <f t="shared" si="14"/>
        <v>3840.1099837808224</v>
      </c>
      <c r="X50" s="32">
        <f t="shared" si="15"/>
        <v>3915.4062579726033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/>
      <c r="L51" s="117"/>
      <c r="M51" s="19" t="s">
        <v>4410</v>
      </c>
      <c r="N51" s="117">
        <f t="shared" si="16"/>
        <v>73352911</v>
      </c>
      <c r="O51" s="69">
        <v>106835</v>
      </c>
      <c r="P51" s="69">
        <v>686.6</v>
      </c>
      <c r="Q51" s="169">
        <v>931614</v>
      </c>
      <c r="R51" s="215" t="s">
        <v>4934</v>
      </c>
      <c r="S51" s="198">
        <f>S50-8</f>
        <v>35</v>
      </c>
      <c r="T51" s="215" t="s">
        <v>4936</v>
      </c>
      <c r="U51" s="215">
        <v>4437</v>
      </c>
      <c r="V51" s="215">
        <f t="shared" si="6"/>
        <v>4605.8248109589049</v>
      </c>
      <c r="W51" s="32">
        <f t="shared" si="14"/>
        <v>4697.9413071780828</v>
      </c>
      <c r="X51" s="32">
        <f t="shared" si="15"/>
        <v>4790.0578033972615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4538</v>
      </c>
      <c r="N52" s="117">
        <f t="shared" si="16"/>
        <v>38928620</v>
      </c>
      <c r="O52" s="69">
        <v>8180</v>
      </c>
      <c r="P52" s="69">
        <v>4759</v>
      </c>
      <c r="Q52" s="169">
        <v>533965</v>
      </c>
      <c r="R52" s="215" t="s">
        <v>4979</v>
      </c>
      <c r="S52" s="198">
        <f>S51-12</f>
        <v>23</v>
      </c>
      <c r="T52" s="215" t="s">
        <v>4980</v>
      </c>
      <c r="U52" s="215">
        <v>4429.2</v>
      </c>
      <c r="V52" s="215">
        <f t="shared" si="6"/>
        <v>4556.9551167123291</v>
      </c>
      <c r="W52" s="32">
        <f t="shared" si="14"/>
        <v>4648.0942190465757</v>
      </c>
      <c r="X52" s="32">
        <f t="shared" si="15"/>
        <v>4739.2333213808224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 t="s">
        <v>25</v>
      </c>
      <c r="L53" s="117"/>
      <c r="M53" s="21" t="s">
        <v>4537</v>
      </c>
      <c r="N53" s="117">
        <f t="shared" si="16"/>
        <v>16229779.5</v>
      </c>
      <c r="O53" s="69">
        <v>2913</v>
      </c>
      <c r="P53" s="69">
        <v>5571.5</v>
      </c>
      <c r="Q53" s="169">
        <v>164707</v>
      </c>
      <c r="R53" s="215" t="s">
        <v>4994</v>
      </c>
      <c r="S53" s="198">
        <f>S52-6</f>
        <v>17</v>
      </c>
      <c r="T53" s="215" t="s">
        <v>4995</v>
      </c>
      <c r="U53" s="215">
        <v>633</v>
      </c>
      <c r="V53" s="215">
        <f t="shared" si="6"/>
        <v>648.34461369863027</v>
      </c>
      <c r="W53" s="32">
        <f t="shared" si="14"/>
        <v>661.31150597260284</v>
      </c>
      <c r="X53" s="32">
        <f t="shared" si="15"/>
        <v>674.27839824657553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 t="s">
        <v>25</v>
      </c>
      <c r="L54" s="117"/>
      <c r="M54" s="21" t="s">
        <v>4614</v>
      </c>
      <c r="N54" s="117">
        <f t="shared" si="16"/>
        <v>4634370</v>
      </c>
      <c r="O54" s="69">
        <v>5100</v>
      </c>
      <c r="P54" s="69">
        <v>908.7</v>
      </c>
      <c r="Q54" s="169">
        <v>466781</v>
      </c>
      <c r="R54" s="215" t="s">
        <v>5057</v>
      </c>
      <c r="S54" s="198">
        <f>S53-16</f>
        <v>1</v>
      </c>
      <c r="T54" s="215" t="s">
        <v>5058</v>
      </c>
      <c r="U54" s="215">
        <v>4005.4</v>
      </c>
      <c r="V54" s="215">
        <f t="shared" si="6"/>
        <v>4053.3331156164386</v>
      </c>
      <c r="W54" s="32">
        <f t="shared" si="14"/>
        <v>4134.3997779287674</v>
      </c>
      <c r="X54" s="32">
        <f t="shared" si="15"/>
        <v>4215.4664402410963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 t="s">
        <v>25</v>
      </c>
      <c r="L55" s="117"/>
      <c r="M55" s="21" t="s">
        <v>4296</v>
      </c>
      <c r="N55" s="117">
        <f>O55*P55</f>
        <v>2574896</v>
      </c>
      <c r="O55" s="69">
        <v>6997</v>
      </c>
      <c r="P55" s="69">
        <v>368</v>
      </c>
      <c r="Q55" s="169">
        <v>1204691</v>
      </c>
      <c r="R55" s="215" t="s">
        <v>5064</v>
      </c>
      <c r="S55" s="198">
        <f>S54-4</f>
        <v>-3</v>
      </c>
      <c r="T55" s="215" t="s">
        <v>5065</v>
      </c>
      <c r="U55" s="215">
        <v>218.5</v>
      </c>
      <c r="V55" s="215">
        <f t="shared" si="6"/>
        <v>220.44435068493155</v>
      </c>
      <c r="W55" s="32">
        <f t="shared" si="14"/>
        <v>224.85323769863018</v>
      </c>
      <c r="X55" s="32">
        <f t="shared" si="15"/>
        <v>229.26212471232881</v>
      </c>
      <c r="Y55" t="s">
        <v>25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19" t="s">
        <v>4587</v>
      </c>
      <c r="N56" s="113">
        <f t="shared" si="16"/>
        <v>261399.59999999998</v>
      </c>
      <c r="O56" s="69">
        <v>1148</v>
      </c>
      <c r="P56" s="69">
        <v>227.7</v>
      </c>
      <c r="Q56" s="169">
        <v>15011877</v>
      </c>
      <c r="R56" s="215" t="s">
        <v>5068</v>
      </c>
      <c r="S56" s="198">
        <f>S55-3</f>
        <v>-6</v>
      </c>
      <c r="T56" s="215" t="s">
        <v>5075</v>
      </c>
      <c r="U56" s="215">
        <v>197.1</v>
      </c>
      <c r="V56" s="215">
        <f t="shared" si="6"/>
        <v>198.40032000000002</v>
      </c>
      <c r="W56" s="32">
        <f t="shared" si="14"/>
        <v>202.36832640000003</v>
      </c>
      <c r="X56" s="32">
        <f t="shared" si="15"/>
        <v>206.33633280000004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56"/>
      <c r="L57" s="117"/>
      <c r="M57" s="19" t="s">
        <v>4179</v>
      </c>
      <c r="N57" s="113">
        <f t="shared" si="16"/>
        <v>258656814.5</v>
      </c>
      <c r="O57" s="99">
        <v>1303057</v>
      </c>
      <c r="P57" s="99">
        <v>198.5</v>
      </c>
      <c r="Q57" s="169">
        <v>34988328</v>
      </c>
      <c r="R57" s="215" t="s">
        <v>5068</v>
      </c>
      <c r="S57" s="198">
        <f>S56</f>
        <v>-6</v>
      </c>
      <c r="T57" s="215" t="s">
        <v>5076</v>
      </c>
      <c r="U57" s="215">
        <v>3800.4</v>
      </c>
      <c r="V57" s="215">
        <f t="shared" si="6"/>
        <v>3825.4722279452062</v>
      </c>
      <c r="W57" s="32">
        <f t="shared" si="14"/>
        <v>3901.9816725041105</v>
      </c>
      <c r="X57" s="32">
        <f t="shared" si="15"/>
        <v>3978.4911170630144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21" t="s">
        <v>1086</v>
      </c>
      <c r="N58" s="117">
        <f t="shared" si="16"/>
        <v>0</v>
      </c>
      <c r="O58" s="69">
        <v>0</v>
      </c>
      <c r="P58" s="69">
        <v>526000</v>
      </c>
      <c r="Q58" s="169"/>
      <c r="R58" s="168"/>
      <c r="S58" s="168"/>
      <c r="T58" s="168"/>
      <c r="U58" s="168"/>
      <c r="V58" s="215">
        <f t="shared" si="6"/>
        <v>0</v>
      </c>
      <c r="W58" s="32">
        <f t="shared" si="14"/>
        <v>0</v>
      </c>
      <c r="X58" s="32">
        <f t="shared" si="15"/>
        <v>0</v>
      </c>
      <c r="Y58" t="s">
        <v>25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73"/>
      <c r="N59" s="117"/>
      <c r="O59" s="122"/>
      <c r="P59" s="122"/>
      <c r="Q59" s="169">
        <f>SUM(N21:N26)-SUM(Q20:Q58)</f>
        <v>53240821.50000006</v>
      </c>
      <c r="R59" s="168"/>
      <c r="S59" s="168" t="s">
        <v>25</v>
      </c>
      <c r="T59" s="168"/>
      <c r="U59" s="168"/>
      <c r="V59" s="168"/>
      <c r="W59" s="32"/>
      <c r="X59" s="32"/>
      <c r="Y59" t="s">
        <v>25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168" t="s">
        <v>1152</v>
      </c>
      <c r="N60" s="117">
        <v>14908</v>
      </c>
      <c r="O60" s="96"/>
      <c r="P60" t="s">
        <v>25</v>
      </c>
      <c r="R60" s="115"/>
      <c r="S60" s="115" t="s">
        <v>25</v>
      </c>
      <c r="T60" s="115"/>
      <c r="U60" s="115"/>
      <c r="V60" s="115"/>
      <c r="W60" s="195"/>
      <c r="X60" s="195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99"/>
      <c r="M61" s="168" t="s">
        <v>1153</v>
      </c>
      <c r="N61" s="117">
        <v>5282</v>
      </c>
      <c r="O61" s="96"/>
      <c r="P61" t="s">
        <v>25</v>
      </c>
      <c r="Q61" s="96"/>
      <c r="R61" s="115"/>
      <c r="S61" s="115"/>
      <c r="T61" s="115" t="s">
        <v>25</v>
      </c>
      <c r="U61" s="115"/>
      <c r="V61" s="115"/>
      <c r="W61" s="195"/>
      <c r="X61" s="195"/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O62" s="115"/>
      <c r="P62" s="115"/>
      <c r="Q62" s="168" t="s">
        <v>657</v>
      </c>
      <c r="R62" s="168"/>
      <c r="S62" s="168"/>
      <c r="T62" s="168"/>
      <c r="U62" s="168"/>
      <c r="V62" s="168"/>
      <c r="W62" s="32"/>
      <c r="X62" s="32"/>
      <c r="Y62" t="s">
        <v>25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 ht="30">
      <c r="E63" s="26"/>
      <c r="K63" s="168" t="s">
        <v>25</v>
      </c>
      <c r="L63" s="117"/>
      <c r="M63" s="168" t="s">
        <v>4180</v>
      </c>
      <c r="N63" s="113">
        <f>-O63*P63</f>
        <v>-10658259</v>
      </c>
      <c r="O63" s="99">
        <v>53694</v>
      </c>
      <c r="P63" s="99">
        <f>P57</f>
        <v>198.5</v>
      </c>
      <c r="Q63" s="168" t="s">
        <v>267</v>
      </c>
      <c r="R63" s="168" t="s">
        <v>180</v>
      </c>
      <c r="S63" s="168" t="s">
        <v>183</v>
      </c>
      <c r="T63" s="168" t="s">
        <v>8</v>
      </c>
      <c r="U63" s="168" t="s">
        <v>4363</v>
      </c>
      <c r="V63" s="73" t="s">
        <v>4365</v>
      </c>
      <c r="W63" s="32">
        <v>2</v>
      </c>
      <c r="X63" s="32">
        <v>4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168"/>
      <c r="L64" s="117"/>
      <c r="M64" s="168"/>
      <c r="N64" s="113"/>
      <c r="Q64" s="168">
        <v>0</v>
      </c>
      <c r="R64" s="168" t="s">
        <v>4172</v>
      </c>
      <c r="S64" s="168">
        <f>S94</f>
        <v>220</v>
      </c>
      <c r="T64" s="168"/>
      <c r="U64" s="168"/>
      <c r="V64" s="73"/>
      <c r="W64" s="32"/>
      <c r="X64" s="32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K65" s="168"/>
      <c r="L65" s="117"/>
      <c r="M65" s="168"/>
      <c r="N65" s="113"/>
      <c r="Q65" s="169">
        <v>863944</v>
      </c>
      <c r="R65" s="168" t="s">
        <v>4438</v>
      </c>
      <c r="S65" s="168">
        <f>S64-62</f>
        <v>158</v>
      </c>
      <c r="T65" s="191" t="s">
        <v>4510</v>
      </c>
      <c r="U65" s="168">
        <v>184.6</v>
      </c>
      <c r="V65" s="168">
        <f t="shared" ref="V65:V85" si="17">U65*(1+$N$89+$Q$15*S65/36500)</f>
        <v>209.0420515068493</v>
      </c>
      <c r="W65" s="32">
        <f t="shared" ref="W65:W85" si="18">V65*(1+$W$19/100)</f>
        <v>213.22289253698631</v>
      </c>
      <c r="X65" s="32">
        <f t="shared" ref="X65:X85" si="19">V65*(1+$X$19/100)</f>
        <v>217.40373356712328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K66" s="168"/>
      <c r="L66" s="117"/>
      <c r="M66" s="168" t="s">
        <v>4446</v>
      </c>
      <c r="N66" s="113">
        <f>-S186</f>
        <v>-17438746.77964516</v>
      </c>
      <c r="Q66" s="169">
        <v>1692313</v>
      </c>
      <c r="R66" s="168" t="s">
        <v>4513</v>
      </c>
      <c r="S66" s="198">
        <f>S65-21</f>
        <v>137</v>
      </c>
      <c r="T66" s="190" t="s">
        <v>4514</v>
      </c>
      <c r="U66" s="168">
        <v>168.5</v>
      </c>
      <c r="V66" s="168">
        <f t="shared" si="17"/>
        <v>188.09585753424659</v>
      </c>
      <c r="W66" s="32">
        <f t="shared" si="18"/>
        <v>191.85777468493151</v>
      </c>
      <c r="X66" s="32">
        <f t="shared" si="19"/>
        <v>195.61969183561646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168"/>
      <c r="L67" s="117"/>
      <c r="M67" s="168" t="s">
        <v>4735</v>
      </c>
      <c r="N67" s="113">
        <f>50*P58</f>
        <v>26300000</v>
      </c>
      <c r="P67" t="s">
        <v>25</v>
      </c>
      <c r="Q67" s="169">
        <v>101153</v>
      </c>
      <c r="R67" s="168" t="s">
        <v>4516</v>
      </c>
      <c r="S67" s="198">
        <f>S66-1</f>
        <v>136</v>
      </c>
      <c r="T67" s="190" t="s">
        <v>4518</v>
      </c>
      <c r="U67" s="168">
        <v>166.7</v>
      </c>
      <c r="V67" s="168">
        <f t="shared" si="17"/>
        <v>185.95864547945206</v>
      </c>
      <c r="W67" s="32">
        <f t="shared" si="18"/>
        <v>189.67781838904111</v>
      </c>
      <c r="X67" s="32">
        <f t="shared" si="19"/>
        <v>193.39699129863016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s="168"/>
      <c r="L68" s="117"/>
      <c r="M68" s="168"/>
      <c r="N68" s="113"/>
      <c r="P68" t="s">
        <v>25</v>
      </c>
      <c r="Q68" s="169">
        <v>183105</v>
      </c>
      <c r="R68" s="168" t="s">
        <v>4231</v>
      </c>
      <c r="S68" s="198">
        <f>S67-1</f>
        <v>135</v>
      </c>
      <c r="T68" s="190" t="s">
        <v>4522</v>
      </c>
      <c r="U68" s="168">
        <v>166.6</v>
      </c>
      <c r="V68" s="168">
        <f t="shared" si="17"/>
        <v>185.7192898630137</v>
      </c>
      <c r="W68" s="32">
        <f t="shared" si="18"/>
        <v>189.43367566027396</v>
      </c>
      <c r="X68" s="32">
        <f t="shared" si="19"/>
        <v>193.14806145753425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s="168" t="s">
        <v>598</v>
      </c>
      <c r="L69" s="113">
        <f>SUM(L16:L54)</f>
        <v>500417255.59576154</v>
      </c>
      <c r="M69" s="168"/>
      <c r="N69" s="113">
        <f>SUM(N16:N68)</f>
        <v>557599444.82459331</v>
      </c>
      <c r="Q69" s="169">
        <v>168846</v>
      </c>
      <c r="R69" s="168" t="s">
        <v>3691</v>
      </c>
      <c r="S69" s="198">
        <f>S68-30</f>
        <v>105</v>
      </c>
      <c r="T69" s="190" t="s">
        <v>4622</v>
      </c>
      <c r="U69" s="168">
        <v>172.2</v>
      </c>
      <c r="V69" s="168">
        <f t="shared" si="17"/>
        <v>187.99899616438356</v>
      </c>
      <c r="W69" s="32">
        <f t="shared" si="18"/>
        <v>191.75897608767124</v>
      </c>
      <c r="X69" s="32">
        <f t="shared" si="19"/>
        <v>195.5189560109589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s="168" t="s">
        <v>599</v>
      </c>
      <c r="L70" s="113">
        <f>L16+L17+L26</f>
        <v>955749</v>
      </c>
      <c r="M70" s="168"/>
      <c r="N70" s="113">
        <f>N16+N17+N37</f>
        <v>641053</v>
      </c>
      <c r="Q70" s="169">
        <v>250962</v>
      </c>
      <c r="R70" s="168" t="s">
        <v>4664</v>
      </c>
      <c r="S70" s="198">
        <f>S69-10</f>
        <v>95</v>
      </c>
      <c r="T70" s="190" t="s">
        <v>4665</v>
      </c>
      <c r="U70" s="168">
        <v>5315.5</v>
      </c>
      <c r="V70" s="168">
        <f t="shared" si="17"/>
        <v>5762.4097643835612</v>
      </c>
      <c r="W70" s="32">
        <f t="shared" si="18"/>
        <v>5877.6579596712327</v>
      </c>
      <c r="X70" s="32">
        <f t="shared" si="19"/>
        <v>5992.9061549589042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s="56" t="s">
        <v>716</v>
      </c>
      <c r="L71" s="1">
        <f>L69+N7</f>
        <v>570417255.59576154</v>
      </c>
      <c r="M71" s="113"/>
      <c r="N71" s="168"/>
      <c r="O71" s="115"/>
      <c r="P71" s="115"/>
      <c r="Q71" s="169">
        <v>352231</v>
      </c>
      <c r="R71" s="215" t="s">
        <v>4712</v>
      </c>
      <c r="S71" s="198">
        <f>S70-7</f>
        <v>88</v>
      </c>
      <c r="T71" s="190" t="s">
        <v>4714</v>
      </c>
      <c r="U71" s="215">
        <v>502.3</v>
      </c>
      <c r="V71" s="215">
        <f t="shared" si="17"/>
        <v>541.83445041095899</v>
      </c>
      <c r="W71" s="32">
        <f t="shared" si="18"/>
        <v>552.67113941917819</v>
      </c>
      <c r="X71" s="32">
        <f t="shared" si="19"/>
        <v>563.50782842739738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O72" s="96"/>
      <c r="P72" s="96"/>
      <c r="Q72" s="169">
        <v>165067</v>
      </c>
      <c r="R72" s="215" t="s">
        <v>4761</v>
      </c>
      <c r="S72" s="198">
        <f>S71-16</f>
        <v>72</v>
      </c>
      <c r="T72" s="190" t="s">
        <v>4769</v>
      </c>
      <c r="U72" s="215">
        <v>3095.9</v>
      </c>
      <c r="V72" s="215">
        <f t="shared" si="17"/>
        <v>3301.5695430136989</v>
      </c>
      <c r="W72" s="32">
        <f t="shared" si="18"/>
        <v>3367.6009338739727</v>
      </c>
      <c r="X72" s="32">
        <f t="shared" si="19"/>
        <v>3433.632324734247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M73" s="25"/>
      <c r="O73" t="s">
        <v>25</v>
      </c>
      <c r="Q73" s="169">
        <v>62110</v>
      </c>
      <c r="R73" s="215" t="s">
        <v>4901</v>
      </c>
      <c r="S73" s="198">
        <f>S72-26</f>
        <v>46</v>
      </c>
      <c r="T73" s="190" t="s">
        <v>4905</v>
      </c>
      <c r="U73" s="215">
        <v>270</v>
      </c>
      <c r="V73" s="215">
        <f t="shared" si="17"/>
        <v>282.55167123287674</v>
      </c>
      <c r="W73" s="32">
        <f t="shared" si="18"/>
        <v>288.2027046575343</v>
      </c>
      <c r="X73" s="32">
        <f t="shared" si="19"/>
        <v>293.8537380821918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M74" s="25" t="s">
        <v>4080</v>
      </c>
      <c r="N74" s="99" t="s">
        <v>452</v>
      </c>
      <c r="O74" s="113">
        <f>O57*25</f>
        <v>32576425</v>
      </c>
      <c r="P74" s="115"/>
      <c r="Q74" s="169">
        <v>48217</v>
      </c>
      <c r="R74" s="215" t="s">
        <v>4920</v>
      </c>
      <c r="S74" s="198">
        <f>S73-2</f>
        <v>44</v>
      </c>
      <c r="T74" s="190" t="s">
        <v>4926</v>
      </c>
      <c r="U74" s="215">
        <v>400</v>
      </c>
      <c r="V74" s="215">
        <f t="shared" si="17"/>
        <v>417.9813698630137</v>
      </c>
      <c r="W74" s="32">
        <f t="shared" si="18"/>
        <v>426.34099726027398</v>
      </c>
      <c r="X74" s="32">
        <f t="shared" si="19"/>
        <v>434.70062465753426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M75" s="177"/>
      <c r="N75" s="99" t="s">
        <v>1087</v>
      </c>
      <c r="O75" s="113">
        <f>O33*25</f>
        <v>3278675</v>
      </c>
      <c r="P75" s="115"/>
      <c r="Q75" s="169">
        <v>115911</v>
      </c>
      <c r="R75" s="215" t="s">
        <v>981</v>
      </c>
      <c r="S75" s="198">
        <f>S74-1</f>
        <v>43</v>
      </c>
      <c r="T75" s="190" t="s">
        <v>4929</v>
      </c>
      <c r="U75" s="215">
        <v>3605.5</v>
      </c>
      <c r="V75" s="215">
        <f t="shared" si="17"/>
        <v>3764.8137095890415</v>
      </c>
      <c r="W75" s="32">
        <f t="shared" si="18"/>
        <v>3840.1099837808224</v>
      </c>
      <c r="X75" s="32">
        <f t="shared" si="19"/>
        <v>3915.4062579726033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M76" s="96" t="s">
        <v>4864</v>
      </c>
      <c r="N76" s="99" t="s">
        <v>751</v>
      </c>
      <c r="O76" s="113">
        <f>O21*25</f>
        <v>4093225</v>
      </c>
      <c r="Q76" s="169">
        <v>102339</v>
      </c>
      <c r="R76" s="215" t="s">
        <v>4934</v>
      </c>
      <c r="S76" s="198">
        <f>S75-8</f>
        <v>35</v>
      </c>
      <c r="T76" s="190" t="s">
        <v>4935</v>
      </c>
      <c r="U76" s="215">
        <v>4429</v>
      </c>
      <c r="V76" s="215">
        <f t="shared" si="17"/>
        <v>4597.5204164383567</v>
      </c>
      <c r="W76" s="32">
        <f t="shared" si="18"/>
        <v>4689.4708247671242</v>
      </c>
      <c r="X76" s="32">
        <f t="shared" si="19"/>
        <v>4781.4212330958908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M77" s="122" t="s">
        <v>4411</v>
      </c>
      <c r="O77" s="114"/>
      <c r="Q77" s="169">
        <v>3792615</v>
      </c>
      <c r="R77" s="5" t="s">
        <v>4950</v>
      </c>
      <c r="S77" s="198">
        <f>S76-4</f>
        <v>31</v>
      </c>
      <c r="T77" s="190" t="s">
        <v>4953</v>
      </c>
      <c r="U77" s="215">
        <v>3775.1</v>
      </c>
      <c r="V77" s="215">
        <f t="shared" si="17"/>
        <v>3907.1561008219178</v>
      </c>
      <c r="W77" s="32">
        <f t="shared" si="18"/>
        <v>3985.2992228383564</v>
      </c>
      <c r="X77" s="32">
        <f t="shared" si="19"/>
        <v>4063.4423448547946</v>
      </c>
      <c r="Y77" t="s">
        <v>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M78" s="122" t="s">
        <v>4507</v>
      </c>
      <c r="N78" s="96"/>
      <c r="Q78" s="169">
        <v>6278475</v>
      </c>
      <c r="R78" s="5" t="s">
        <v>4950</v>
      </c>
      <c r="S78" s="198">
        <f>S77</f>
        <v>31</v>
      </c>
      <c r="T78" s="190" t="s">
        <v>4954</v>
      </c>
      <c r="U78" s="215">
        <v>6250.1</v>
      </c>
      <c r="V78" s="215">
        <f t="shared" si="17"/>
        <v>6468.7336350684936</v>
      </c>
      <c r="W78" s="32">
        <f t="shared" si="18"/>
        <v>6598.108307769864</v>
      </c>
      <c r="X78" s="32">
        <f t="shared" si="19"/>
        <v>6727.4829804712335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M79" s="122" t="s">
        <v>4577</v>
      </c>
      <c r="N79" s="96"/>
      <c r="P79" t="s">
        <v>25</v>
      </c>
      <c r="Q79" s="169">
        <v>13517</v>
      </c>
      <c r="R79" s="5" t="s">
        <v>4950</v>
      </c>
      <c r="S79" s="198">
        <f>S78</f>
        <v>31</v>
      </c>
      <c r="T79" s="190" t="s">
        <v>4955</v>
      </c>
      <c r="U79" s="215">
        <v>4485.1000000000004</v>
      </c>
      <c r="V79" s="215">
        <f t="shared" si="17"/>
        <v>4641.9924843835624</v>
      </c>
      <c r="W79" s="32">
        <f t="shared" si="18"/>
        <v>4734.8323340712341</v>
      </c>
      <c r="X79" s="32">
        <f t="shared" si="19"/>
        <v>4827.6721837589048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 ht="45">
      <c r="D80" s="31" t="s">
        <v>307</v>
      </c>
      <c r="E80" s="1">
        <v>150000</v>
      </c>
      <c r="J80" t="s">
        <v>25</v>
      </c>
      <c r="K80" s="214" t="s">
        <v>4785</v>
      </c>
      <c r="L80" s="22" t="s">
        <v>4751</v>
      </c>
      <c r="M80" s="208" t="s">
        <v>4726</v>
      </c>
      <c r="N80" s="96"/>
      <c r="P80" s="115"/>
      <c r="Q80" s="169">
        <v>19918023</v>
      </c>
      <c r="R80" s="5" t="s">
        <v>4950</v>
      </c>
      <c r="S80" s="198">
        <f>S79</f>
        <v>31</v>
      </c>
      <c r="T80" s="190" t="s">
        <v>4956</v>
      </c>
      <c r="U80" s="215">
        <v>183</v>
      </c>
      <c r="V80" s="215">
        <f t="shared" si="17"/>
        <v>189.4014904109589</v>
      </c>
      <c r="W80" s="32">
        <f t="shared" si="18"/>
        <v>193.18952021917809</v>
      </c>
      <c r="X80" s="32">
        <f t="shared" si="19"/>
        <v>196.97755002739726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K81" t="s">
        <v>4786</v>
      </c>
      <c r="M81" s="122"/>
      <c r="N81" s="96"/>
      <c r="P81" s="115" t="s">
        <v>25</v>
      </c>
      <c r="Q81" s="169">
        <v>529520</v>
      </c>
      <c r="R81" s="5" t="s">
        <v>4979</v>
      </c>
      <c r="S81" s="198">
        <f>S80-8</f>
        <v>23</v>
      </c>
      <c r="T81" s="190" t="s">
        <v>4981</v>
      </c>
      <c r="U81" s="215">
        <v>4429.2</v>
      </c>
      <c r="V81" s="215">
        <f t="shared" si="17"/>
        <v>4556.9551167123291</v>
      </c>
      <c r="W81" s="32">
        <f t="shared" si="18"/>
        <v>4648.0942190465757</v>
      </c>
      <c r="X81" s="32">
        <f t="shared" si="19"/>
        <v>4739.2333213808224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4580</v>
      </c>
      <c r="L82" s="96"/>
      <c r="M82" s="122"/>
      <c r="O82" t="s">
        <v>25</v>
      </c>
      <c r="P82" s="115"/>
      <c r="Q82" s="169">
        <v>168390</v>
      </c>
      <c r="R82" s="19" t="s">
        <v>4994</v>
      </c>
      <c r="S82" s="198">
        <f>S81-6</f>
        <v>17</v>
      </c>
      <c r="T82" s="190" t="s">
        <v>4996</v>
      </c>
      <c r="U82" s="215">
        <v>632.5</v>
      </c>
      <c r="V82" s="215">
        <f t="shared" si="17"/>
        <v>647.83249315068508</v>
      </c>
      <c r="W82" s="32">
        <f t="shared" si="18"/>
        <v>660.78914301369878</v>
      </c>
      <c r="X82" s="32">
        <f t="shared" si="19"/>
        <v>673.74579287671247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4865</v>
      </c>
      <c r="M83" s="96">
        <f>O57+O21+O33-O63</f>
        <v>1544239</v>
      </c>
      <c r="N83" s="113">
        <f>M83*P57</f>
        <v>306531441.5</v>
      </c>
      <c r="P83" s="115"/>
      <c r="Q83" s="169">
        <v>466781</v>
      </c>
      <c r="R83" s="19" t="s">
        <v>5057</v>
      </c>
      <c r="S83" s="198">
        <f>S82-16</f>
        <v>1</v>
      </c>
      <c r="T83" s="190" t="s">
        <v>5058</v>
      </c>
      <c r="U83" s="215">
        <v>4005.4</v>
      </c>
      <c r="V83" s="215">
        <f t="shared" si="17"/>
        <v>4053.3331156164386</v>
      </c>
      <c r="W83" s="32">
        <f t="shared" si="18"/>
        <v>4134.3997779287674</v>
      </c>
      <c r="X83" s="32">
        <f t="shared" si="19"/>
        <v>4215.4664402410963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0</v>
      </c>
      <c r="K84" t="s">
        <v>4866</v>
      </c>
      <c r="M84" t="s">
        <v>4267</v>
      </c>
      <c r="P84" s="115"/>
      <c r="Q84" s="169">
        <v>1200301</v>
      </c>
      <c r="R84" s="19" t="s">
        <v>5064</v>
      </c>
      <c r="S84" s="198">
        <f>S83-4</f>
        <v>-3</v>
      </c>
      <c r="T84" s="190" t="s">
        <v>5066</v>
      </c>
      <c r="U84" s="215">
        <v>218.5</v>
      </c>
      <c r="V84" s="215">
        <f t="shared" si="17"/>
        <v>220.44435068493155</v>
      </c>
      <c r="W84" s="32">
        <f t="shared" si="18"/>
        <v>224.85323769863018</v>
      </c>
      <c r="X84" s="32">
        <f t="shared" si="19"/>
        <v>229.26212471232881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4867</v>
      </c>
      <c r="M85" t="s">
        <v>4582</v>
      </c>
      <c r="N85" t="s">
        <v>25</v>
      </c>
      <c r="P85" s="115"/>
      <c r="Q85" s="169"/>
      <c r="R85" s="168"/>
      <c r="S85" s="113"/>
      <c r="T85" s="113"/>
      <c r="U85" s="168"/>
      <c r="V85" s="168">
        <f t="shared" si="17"/>
        <v>0</v>
      </c>
      <c r="W85" s="32">
        <f t="shared" si="18"/>
        <v>0</v>
      </c>
      <c r="X85" s="32">
        <f t="shared" si="19"/>
        <v>0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K86" t="s">
        <v>4540</v>
      </c>
      <c r="P86" s="115"/>
      <c r="Q86" s="113">
        <f>SUM(N29:N33)-SUM(Q64:Q85)</f>
        <v>2310601.700000003</v>
      </c>
      <c r="R86" s="168"/>
      <c r="S86" s="168"/>
      <c r="T86" s="168"/>
      <c r="U86" s="168"/>
      <c r="V86" s="168"/>
      <c r="W86" s="32"/>
      <c r="X86" s="32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0</v>
      </c>
      <c r="K87" t="s">
        <v>4586</v>
      </c>
      <c r="M87" t="s">
        <v>949</v>
      </c>
      <c r="N87">
        <v>6.3E-3</v>
      </c>
      <c r="P87" s="115"/>
      <c r="R87" s="115"/>
      <c r="S87" s="115"/>
      <c r="T87" s="115" t="s">
        <v>25</v>
      </c>
      <c r="U87" s="115"/>
      <c r="V87" s="115"/>
      <c r="W87" s="195" t="s">
        <v>25</v>
      </c>
      <c r="X87" s="195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4539</v>
      </c>
      <c r="M88" t="s">
        <v>61</v>
      </c>
      <c r="N88">
        <v>4.8999999999999998E-3</v>
      </c>
      <c r="P88" s="115"/>
      <c r="Q88" t="s">
        <v>25</v>
      </c>
      <c r="S88" s="26" t="s">
        <v>25</v>
      </c>
      <c r="T88" t="s">
        <v>25</v>
      </c>
      <c r="U88" s="96" t="s">
        <v>25</v>
      </c>
      <c r="V88" s="115" t="s">
        <v>25</v>
      </c>
      <c r="W88" s="195" t="s">
        <v>25</v>
      </c>
      <c r="X88" s="195"/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s="22" t="s">
        <v>4243</v>
      </c>
      <c r="M89" t="s">
        <v>6</v>
      </c>
      <c r="N89">
        <f>N87+N88</f>
        <v>1.12E-2</v>
      </c>
      <c r="O89" t="s">
        <v>25</v>
      </c>
      <c r="P89" t="s">
        <v>25</v>
      </c>
      <c r="Q89" t="s">
        <v>25</v>
      </c>
      <c r="T89" t="s">
        <v>25</v>
      </c>
      <c r="W89" s="195" t="s">
        <v>25</v>
      </c>
      <c r="X89" s="195"/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J90">
        <v>395</v>
      </c>
      <c r="K90" t="s">
        <v>4536</v>
      </c>
      <c r="T90" t="s">
        <v>25</v>
      </c>
      <c r="U90" s="96" t="s">
        <v>25</v>
      </c>
      <c r="V90" t="s">
        <v>25</v>
      </c>
      <c r="W90" s="195"/>
      <c r="X90" s="195"/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4296</v>
      </c>
      <c r="W91" s="195"/>
      <c r="X91" s="195"/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 ht="30">
      <c r="D92" s="32" t="s">
        <v>319</v>
      </c>
      <c r="E92" s="1">
        <v>20000</v>
      </c>
      <c r="G92" s="47">
        <v>50000</v>
      </c>
      <c r="H92" s="48" t="s">
        <v>792</v>
      </c>
      <c r="K92" t="s">
        <v>25</v>
      </c>
      <c r="Q92" s="73" t="s">
        <v>4295</v>
      </c>
      <c r="R92" s="112"/>
      <c r="S92" s="112"/>
      <c r="T92" s="112"/>
      <c r="U92" s="168" t="s">
        <v>4363</v>
      </c>
      <c r="V92" s="36" t="s">
        <v>4365</v>
      </c>
      <c r="W92" s="32"/>
      <c r="X92" s="32"/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s="96"/>
      <c r="M93" s="194" t="s">
        <v>4535</v>
      </c>
      <c r="Q93" s="112" t="s">
        <v>267</v>
      </c>
      <c r="R93" s="112" t="s">
        <v>180</v>
      </c>
      <c r="S93" s="112" t="s">
        <v>183</v>
      </c>
      <c r="T93" s="112" t="s">
        <v>8</v>
      </c>
      <c r="U93" s="168"/>
      <c r="V93" s="99"/>
      <c r="W93" s="32">
        <v>2</v>
      </c>
      <c r="X93" s="32">
        <v>4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s="96"/>
      <c r="M94" t="s">
        <v>4536</v>
      </c>
      <c r="Q94" s="35">
        <v>184971545</v>
      </c>
      <c r="R94" s="5" t="s">
        <v>4172</v>
      </c>
      <c r="S94" s="5">
        <v>220</v>
      </c>
      <c r="T94" s="5" t="s">
        <v>4346</v>
      </c>
      <c r="U94" s="168">
        <v>192</v>
      </c>
      <c r="V94" s="99">
        <f t="shared" ref="V94:V125" si="21">U94*(1+$N$89+$Q$15*S94/36500)</f>
        <v>226.55368767123292</v>
      </c>
      <c r="W94" s="32">
        <f t="shared" ref="W94:W115" si="22">V94*(1+$W$19/100)</f>
        <v>231.08476142465759</v>
      </c>
      <c r="X94" s="32">
        <f t="shared" ref="X94:X115" si="23">V94*(1+$X$19/100)</f>
        <v>235.61583517808225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s="96"/>
      <c r="M95" t="s">
        <v>4539</v>
      </c>
      <c r="Q95" s="35">
        <v>9560464</v>
      </c>
      <c r="R95" s="5" t="s">
        <v>4299</v>
      </c>
      <c r="S95" s="5">
        <f>S94-31</f>
        <v>189</v>
      </c>
      <c r="T95" s="5" t="s">
        <v>4312</v>
      </c>
      <c r="U95" s="168">
        <v>214.57</v>
      </c>
      <c r="V95" s="99">
        <f t="shared" si="21"/>
        <v>248.08289468493155</v>
      </c>
      <c r="W95" s="32">
        <f t="shared" si="22"/>
        <v>253.04455257863017</v>
      </c>
      <c r="X95" s="32">
        <f t="shared" si="23"/>
        <v>258.0062104723288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K96" s="96"/>
      <c r="M96" t="s">
        <v>4540</v>
      </c>
      <c r="Q96" s="35">
        <v>2000000</v>
      </c>
      <c r="R96" s="5" t="s">
        <v>4342</v>
      </c>
      <c r="S96" s="5">
        <f>S95-11</f>
        <v>178</v>
      </c>
      <c r="T96" s="5" t="s">
        <v>4345</v>
      </c>
      <c r="U96" s="168">
        <v>206.8</v>
      </c>
      <c r="V96" s="99">
        <f t="shared" si="21"/>
        <v>237.35427506849317</v>
      </c>
      <c r="W96" s="32">
        <f t="shared" si="22"/>
        <v>242.10136056986303</v>
      </c>
      <c r="X96" s="32">
        <f t="shared" si="23"/>
        <v>246.8484460712329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s="96"/>
      <c r="L97" s="96"/>
      <c r="M97" s="96"/>
      <c r="N97" s="96"/>
      <c r="Q97" s="35">
        <v>1429825</v>
      </c>
      <c r="R97" s="5" t="s">
        <v>4372</v>
      </c>
      <c r="S97" s="5">
        <f>S96-7</f>
        <v>171</v>
      </c>
      <c r="T97" s="5" t="s">
        <v>4381</v>
      </c>
      <c r="U97" s="168">
        <v>203.9</v>
      </c>
      <c r="V97" s="99">
        <f t="shared" si="21"/>
        <v>232.93089095890411</v>
      </c>
      <c r="W97" s="32">
        <f t="shared" si="22"/>
        <v>237.58950877808221</v>
      </c>
      <c r="X97" s="32">
        <f t="shared" si="23"/>
        <v>242.2481265972603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1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s="96"/>
      <c r="L98" s="96"/>
      <c r="M98" s="96"/>
      <c r="N98" s="96"/>
      <c r="Q98" s="35">
        <v>1420747</v>
      </c>
      <c r="R98" s="5" t="s">
        <v>4372</v>
      </c>
      <c r="S98" s="5">
        <f>S97</f>
        <v>171</v>
      </c>
      <c r="T98" s="5" t="s">
        <v>4383</v>
      </c>
      <c r="U98" s="168">
        <v>203.1</v>
      </c>
      <c r="V98" s="99">
        <f t="shared" si="21"/>
        <v>232.01698849315068</v>
      </c>
      <c r="W98" s="32">
        <f t="shared" si="22"/>
        <v>236.65732826301368</v>
      </c>
      <c r="X98" s="32">
        <f t="shared" si="23"/>
        <v>241.29766803287671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1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 t="s">
        <v>25</v>
      </c>
      <c r="K99" s="96"/>
      <c r="Q99" s="35">
        <v>2412371</v>
      </c>
      <c r="R99" s="5" t="s">
        <v>4374</v>
      </c>
      <c r="S99" s="5">
        <f>S98-1</f>
        <v>170</v>
      </c>
      <c r="T99" s="5" t="s">
        <v>4390</v>
      </c>
      <c r="U99" s="168">
        <v>3930</v>
      </c>
      <c r="V99" s="99">
        <f t="shared" si="21"/>
        <v>4486.531068493151</v>
      </c>
      <c r="W99" s="32">
        <f t="shared" si="22"/>
        <v>4576.261689863014</v>
      </c>
      <c r="X99" s="32">
        <f t="shared" si="23"/>
        <v>4665.992311232877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s="96"/>
      <c r="Q100" s="35">
        <v>2010885</v>
      </c>
      <c r="R100" s="5" t="s">
        <v>4393</v>
      </c>
      <c r="S100" s="5">
        <f>S99-2</f>
        <v>168</v>
      </c>
      <c r="T100" s="5" t="s">
        <v>4399</v>
      </c>
      <c r="U100" s="168">
        <v>202.1</v>
      </c>
      <c r="V100" s="99">
        <f t="shared" si="21"/>
        <v>230.40950356164385</v>
      </c>
      <c r="W100" s="32">
        <f t="shared" si="22"/>
        <v>235.01769363287673</v>
      </c>
      <c r="X100" s="32">
        <f t="shared" si="23"/>
        <v>239.62588370410961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K101" s="96"/>
      <c r="P101" s="115"/>
      <c r="Q101" s="35">
        <v>1994038</v>
      </c>
      <c r="R101" s="5" t="s">
        <v>4404</v>
      </c>
      <c r="S101" s="5">
        <f>S100-3</f>
        <v>165</v>
      </c>
      <c r="T101" s="5" t="s">
        <v>4420</v>
      </c>
      <c r="U101" s="168">
        <v>5560.3</v>
      </c>
      <c r="V101" s="99">
        <f t="shared" si="21"/>
        <v>6326.3722367123291</v>
      </c>
      <c r="W101" s="32">
        <f t="shared" si="22"/>
        <v>6452.8996814465754</v>
      </c>
      <c r="X101" s="32">
        <f t="shared" si="23"/>
        <v>6579.4271261808226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1"/>
        <v>36400000</v>
      </c>
      <c r="AN101" s="99"/>
    </row>
    <row r="102" spans="4:47">
      <c r="F102" s="96"/>
      <c r="G102" s="96"/>
      <c r="H102" s="96"/>
      <c r="I102" s="96"/>
      <c r="J102" s="96"/>
      <c r="K102" s="96"/>
      <c r="P102" s="128"/>
      <c r="Q102" s="35">
        <v>444</v>
      </c>
      <c r="R102" s="5" t="s">
        <v>4404</v>
      </c>
      <c r="S102" s="5">
        <f>S101</f>
        <v>165</v>
      </c>
      <c r="T102" s="5" t="s">
        <v>4611</v>
      </c>
      <c r="U102" s="168">
        <v>441.8</v>
      </c>
      <c r="V102" s="99">
        <f t="shared" si="21"/>
        <v>502.66914630136989</v>
      </c>
      <c r="W102" s="32">
        <f t="shared" si="22"/>
        <v>512.72252922739733</v>
      </c>
      <c r="X102" s="32">
        <f t="shared" si="23"/>
        <v>522.77591215342466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1"/>
        <v>-191593311</v>
      </c>
      <c r="AN102" s="99"/>
      <c r="AO102" t="s">
        <v>25</v>
      </c>
    </row>
    <row r="103" spans="4:47">
      <c r="F103" s="96"/>
      <c r="G103" s="96"/>
      <c r="H103" s="96"/>
      <c r="I103" s="96"/>
      <c r="J103" s="96"/>
      <c r="K103" s="96"/>
      <c r="P103" s="128"/>
      <c r="Q103" s="35">
        <v>1971103</v>
      </c>
      <c r="R103" s="5" t="s">
        <v>4415</v>
      </c>
      <c r="S103" s="5">
        <f>S102-1</f>
        <v>164</v>
      </c>
      <c r="T103" s="5" t="s">
        <v>4416</v>
      </c>
      <c r="U103" s="168">
        <v>196.2</v>
      </c>
      <c r="V103" s="99">
        <f t="shared" si="21"/>
        <v>223.08101260273975</v>
      </c>
      <c r="W103" s="32">
        <f t="shared" si="22"/>
        <v>227.54263285479453</v>
      </c>
      <c r="X103" s="32">
        <f t="shared" si="23"/>
        <v>232.00425310684935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1"/>
        <v>-497485620</v>
      </c>
      <c r="AN103" s="99"/>
    </row>
    <row r="104" spans="4:47">
      <c r="F104" s="96"/>
      <c r="G104" s="96"/>
      <c r="H104" s="96"/>
      <c r="I104" s="96"/>
      <c r="J104" s="96"/>
      <c r="L104" s="96"/>
      <c r="M104" s="96"/>
      <c r="N104" s="96"/>
      <c r="P104" s="115"/>
      <c r="Q104" s="35">
        <v>1049856</v>
      </c>
      <c r="R104" s="5" t="s">
        <v>4438</v>
      </c>
      <c r="S104" s="5">
        <f>S103-6</f>
        <v>158</v>
      </c>
      <c r="T104" s="5" t="s">
        <v>4477</v>
      </c>
      <c r="U104" s="168">
        <v>184.5</v>
      </c>
      <c r="V104" s="99">
        <f t="shared" si="21"/>
        <v>208.92881095890411</v>
      </c>
      <c r="W104" s="32">
        <f t="shared" si="22"/>
        <v>213.10738717808221</v>
      </c>
      <c r="X104" s="32">
        <f t="shared" si="23"/>
        <v>217.28596339726028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1"/>
        <v>351000000</v>
      </c>
      <c r="AN104" s="99"/>
    </row>
    <row r="105" spans="4:47">
      <c r="Q105" s="35">
        <v>1783234</v>
      </c>
      <c r="R105" s="5" t="s">
        <v>4440</v>
      </c>
      <c r="S105" s="5">
        <f>S104-2</f>
        <v>156</v>
      </c>
      <c r="T105" s="5" t="s">
        <v>4441</v>
      </c>
      <c r="U105" s="168">
        <v>177.5</v>
      </c>
      <c r="V105" s="99">
        <f t="shared" si="21"/>
        <v>200.72964383561649</v>
      </c>
      <c r="W105" s="32">
        <f t="shared" si="22"/>
        <v>204.74423671232881</v>
      </c>
      <c r="X105" s="32">
        <f t="shared" si="23"/>
        <v>208.75882958904114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1"/>
        <v>-345368598</v>
      </c>
      <c r="AN105" s="99"/>
    </row>
    <row r="106" spans="4:47">
      <c r="Q106" s="35">
        <v>1662335</v>
      </c>
      <c r="R106" s="5" t="s">
        <v>4444</v>
      </c>
      <c r="S106" s="5">
        <f>S105-5</f>
        <v>151</v>
      </c>
      <c r="T106" s="220" t="s">
        <v>4594</v>
      </c>
      <c r="U106" s="168">
        <v>190.3</v>
      </c>
      <c r="V106" s="99">
        <f t="shared" si="21"/>
        <v>214.47487780821919</v>
      </c>
      <c r="W106" s="32">
        <f t="shared" si="22"/>
        <v>218.76437536438357</v>
      </c>
      <c r="X106" s="32">
        <f t="shared" si="23"/>
        <v>223.05387292054797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1"/>
        <v>-2199403130</v>
      </c>
      <c r="AN106" s="99"/>
      <c r="AP106" t="s">
        <v>25</v>
      </c>
    </row>
    <row r="107" spans="4:47">
      <c r="F107" s="215" t="s">
        <v>4716</v>
      </c>
      <c r="G107" s="215" t="s">
        <v>941</v>
      </c>
      <c r="H107" s="215" t="s">
        <v>4697</v>
      </c>
      <c r="I107" s="215" t="s">
        <v>4696</v>
      </c>
      <c r="J107" s="32" t="s">
        <v>4541</v>
      </c>
      <c r="K107" s="215" t="s">
        <v>4686</v>
      </c>
      <c r="L107" s="32" t="s">
        <v>4688</v>
      </c>
      <c r="M107" s="32" t="s">
        <v>4656</v>
      </c>
      <c r="N107" s="215" t="s">
        <v>4657</v>
      </c>
      <c r="Q107" s="169">
        <v>499973</v>
      </c>
      <c r="R107" s="168" t="s">
        <v>4584</v>
      </c>
      <c r="S107" s="168">
        <f>S106-37</f>
        <v>114</v>
      </c>
      <c r="T107" s="73" t="s">
        <v>4585</v>
      </c>
      <c r="U107" s="168">
        <v>413</v>
      </c>
      <c r="V107" s="99">
        <f t="shared" si="21"/>
        <v>453.74329863013702</v>
      </c>
      <c r="W107" s="32">
        <f t="shared" si="22"/>
        <v>462.81816460273978</v>
      </c>
      <c r="X107" s="32">
        <f t="shared" si="23"/>
        <v>471.89303057534249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1"/>
        <v>344000000</v>
      </c>
      <c r="AN107" s="99"/>
    </row>
    <row r="108" spans="4:47">
      <c r="F108" s="200">
        <f t="shared" ref="F108:F113" si="25">$L$119/G108</f>
        <v>26498.740554156171</v>
      </c>
      <c r="G108" s="200">
        <f>P57</f>
        <v>198.5</v>
      </c>
      <c r="H108" s="200" t="s">
        <v>4845</v>
      </c>
      <c r="I108" s="200" t="s">
        <v>4844</v>
      </c>
      <c r="J108" s="216" t="s">
        <v>4243</v>
      </c>
      <c r="K108" s="200">
        <v>66</v>
      </c>
      <c r="L108" s="217">
        <f t="shared" ref="L108:L116" si="26">K108*$L$119</f>
        <v>347160000</v>
      </c>
      <c r="M108" s="217">
        <f>N21+N33+N57</f>
        <v>317189700.5</v>
      </c>
      <c r="N108" s="184">
        <f t="shared" ref="N108:N116" si="27">L108-M108</f>
        <v>29970299.5</v>
      </c>
      <c r="Q108" s="35">
        <v>2272487</v>
      </c>
      <c r="R108" s="5" t="s">
        <v>4604</v>
      </c>
      <c r="S108" s="5">
        <f>S107-5</f>
        <v>109</v>
      </c>
      <c r="T108" s="5" t="s">
        <v>4605</v>
      </c>
      <c r="U108" s="168">
        <v>174.9</v>
      </c>
      <c r="V108" s="99">
        <f t="shared" si="21"/>
        <v>191.48339506849317</v>
      </c>
      <c r="W108" s="32">
        <f t="shared" si="22"/>
        <v>195.31306296986304</v>
      </c>
      <c r="X108" s="32">
        <f t="shared" si="23"/>
        <v>199.14273087123291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1"/>
        <v>-425000000</v>
      </c>
      <c r="AN108" s="99"/>
    </row>
    <row r="109" spans="4:47">
      <c r="F109" s="215">
        <f t="shared" si="25"/>
        <v>830.15056342918467</v>
      </c>
      <c r="G109" s="215">
        <f>P50</f>
        <v>6336.2</v>
      </c>
      <c r="H109" s="215" t="s">
        <v>5068</v>
      </c>
      <c r="I109" s="215" t="s">
        <v>5069</v>
      </c>
      <c r="J109" s="32" t="s">
        <v>4395</v>
      </c>
      <c r="K109" s="215">
        <v>34</v>
      </c>
      <c r="L109" s="1">
        <f t="shared" si="26"/>
        <v>178840000</v>
      </c>
      <c r="M109" s="1">
        <f>N26+N50+N29</f>
        <v>228819190.59999999</v>
      </c>
      <c r="N109" s="113">
        <f t="shared" si="27"/>
        <v>-49979190.599999994</v>
      </c>
      <c r="Q109" s="35">
        <v>3975257</v>
      </c>
      <c r="R109" s="5" t="s">
        <v>4609</v>
      </c>
      <c r="S109" s="5">
        <f>S108-1</f>
        <v>108</v>
      </c>
      <c r="T109" s="5" t="s">
        <v>4610</v>
      </c>
      <c r="U109" s="168">
        <v>173</v>
      </c>
      <c r="V109" s="99">
        <f t="shared" si="21"/>
        <v>189.27053150684935</v>
      </c>
      <c r="W109" s="32">
        <f t="shared" si="22"/>
        <v>193.05594213698635</v>
      </c>
      <c r="X109" s="32">
        <f t="shared" si="23"/>
        <v>196.84135276712334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1"/>
        <v>830000000</v>
      </c>
      <c r="AN109" s="99"/>
    </row>
    <row r="110" spans="4:47">
      <c r="F110" s="200">
        <f t="shared" si="25"/>
        <v>1384.9394418114798</v>
      </c>
      <c r="G110" s="200">
        <f>P46</f>
        <v>3798</v>
      </c>
      <c r="H110" s="200" t="s">
        <v>3881</v>
      </c>
      <c r="I110" s="200" t="s">
        <v>4701</v>
      </c>
      <c r="J110" s="216" t="s">
        <v>4391</v>
      </c>
      <c r="K110" s="200">
        <v>34</v>
      </c>
      <c r="L110" s="217">
        <f t="shared" si="26"/>
        <v>178840000</v>
      </c>
      <c r="M110" s="217">
        <f>N46+N30+N22</f>
        <v>260618760</v>
      </c>
      <c r="N110" s="184">
        <f t="shared" si="27"/>
        <v>-81778760</v>
      </c>
      <c r="Q110" s="35">
        <v>1031662</v>
      </c>
      <c r="R110" s="5" t="s">
        <v>4234</v>
      </c>
      <c r="S110" s="5">
        <f>S109-1</f>
        <v>107</v>
      </c>
      <c r="T110" s="5" t="s">
        <v>4613</v>
      </c>
      <c r="U110" s="168">
        <v>171.2</v>
      </c>
      <c r="V110" s="99">
        <f t="shared" si="21"/>
        <v>187.1699112328767</v>
      </c>
      <c r="W110" s="32">
        <f t="shared" si="22"/>
        <v>190.91330945753424</v>
      </c>
      <c r="X110" s="32">
        <f t="shared" si="23"/>
        <v>194.65670768219178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1"/>
        <v>-414113023</v>
      </c>
      <c r="AN110" s="99"/>
    </row>
    <row r="111" spans="4:47">
      <c r="F111" s="215">
        <f t="shared" si="25"/>
        <v>7660.9379551412758</v>
      </c>
      <c r="G111" s="215">
        <f>P51</f>
        <v>686.6</v>
      </c>
      <c r="H111" s="215" t="s">
        <v>4699</v>
      </c>
      <c r="I111" s="215" t="s">
        <v>4698</v>
      </c>
      <c r="J111" s="32" t="s">
        <v>4410</v>
      </c>
      <c r="K111" s="215">
        <v>34</v>
      </c>
      <c r="L111" s="1">
        <f t="shared" si="26"/>
        <v>178840000</v>
      </c>
      <c r="M111" s="1">
        <f>N51+N24+N31</f>
        <v>180235246.40000004</v>
      </c>
      <c r="N111" s="113">
        <f t="shared" si="27"/>
        <v>-1395246.4000000358</v>
      </c>
      <c r="Q111" s="169">
        <v>2666019</v>
      </c>
      <c r="R111" s="168" t="s">
        <v>4234</v>
      </c>
      <c r="S111" s="168">
        <f>S110</f>
        <v>107</v>
      </c>
      <c r="T111" s="168" t="s">
        <v>4615</v>
      </c>
      <c r="U111" s="168">
        <v>749</v>
      </c>
      <c r="V111" s="99">
        <f t="shared" si="21"/>
        <v>818.86836164383567</v>
      </c>
      <c r="W111" s="32">
        <f t="shared" si="22"/>
        <v>835.24572887671241</v>
      </c>
      <c r="X111" s="32">
        <f t="shared" si="23"/>
        <v>851.62309610958914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200">
        <f t="shared" si="25"/>
        <v>944.09046037871315</v>
      </c>
      <c r="G112" s="200">
        <f>P53</f>
        <v>5571.5</v>
      </c>
      <c r="H112" s="200" t="s">
        <v>4702</v>
      </c>
      <c r="I112" s="200" t="s">
        <v>4701</v>
      </c>
      <c r="J112" s="216" t="s">
        <v>4537</v>
      </c>
      <c r="K112" s="200">
        <v>3</v>
      </c>
      <c r="L112" s="217">
        <f t="shared" si="26"/>
        <v>15780000</v>
      </c>
      <c r="M112" s="217">
        <f>N53</f>
        <v>16229779.5</v>
      </c>
      <c r="N112" s="184">
        <f t="shared" si="27"/>
        <v>-449779.5</v>
      </c>
      <c r="Q112" s="35">
        <v>577500</v>
      </c>
      <c r="R112" s="5" t="s">
        <v>4234</v>
      </c>
      <c r="S112" s="5">
        <f>S111</f>
        <v>107</v>
      </c>
      <c r="T112" s="5" t="s">
        <v>4618</v>
      </c>
      <c r="U112" s="168">
        <v>175</v>
      </c>
      <c r="V112" s="99">
        <f t="shared" si="21"/>
        <v>191.32438356164386</v>
      </c>
      <c r="W112" s="32">
        <f t="shared" si="22"/>
        <v>195.15087123287674</v>
      </c>
      <c r="X112" s="32">
        <f t="shared" si="23"/>
        <v>198.97735890410962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1"/>
        <v>-1155000000</v>
      </c>
      <c r="AN112" s="99"/>
      <c r="AO112" t="s">
        <v>25</v>
      </c>
    </row>
    <row r="113" spans="6:46">
      <c r="F113" s="215">
        <f t="shared" si="25"/>
        <v>1105.2742172725361</v>
      </c>
      <c r="G113" s="215">
        <f>P52</f>
        <v>4759</v>
      </c>
      <c r="H113" s="215" t="s">
        <v>4703</v>
      </c>
      <c r="I113" s="215" t="s">
        <v>4704</v>
      </c>
      <c r="J113" s="32" t="s">
        <v>4538</v>
      </c>
      <c r="K113" s="215">
        <v>34</v>
      </c>
      <c r="L113" s="1">
        <f t="shared" si="26"/>
        <v>178840000</v>
      </c>
      <c r="M113" s="1">
        <f>N52+N25</f>
        <v>136445289</v>
      </c>
      <c r="N113" s="113">
        <f t="shared" si="27"/>
        <v>42394711</v>
      </c>
      <c r="Q113" s="35">
        <v>12636487</v>
      </c>
      <c r="R113" s="5" t="s">
        <v>3691</v>
      </c>
      <c r="S113" s="5">
        <f>S112-2</f>
        <v>105</v>
      </c>
      <c r="T113" s="5" t="s">
        <v>4621</v>
      </c>
      <c r="U113" s="168">
        <v>172.1</v>
      </c>
      <c r="V113" s="99">
        <f t="shared" si="21"/>
        <v>187.889821369863</v>
      </c>
      <c r="W113" s="32">
        <f t="shared" si="22"/>
        <v>191.64761779726027</v>
      </c>
      <c r="X113" s="32">
        <f t="shared" si="23"/>
        <v>195.40541422465753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200"/>
      <c r="G114" s="200"/>
      <c r="H114" s="231">
        <v>35433</v>
      </c>
      <c r="I114" s="200" t="s">
        <v>4700</v>
      </c>
      <c r="J114" s="216" t="s">
        <v>4614</v>
      </c>
      <c r="K114" s="200">
        <v>1</v>
      </c>
      <c r="L114" s="217">
        <f t="shared" si="26"/>
        <v>5260000</v>
      </c>
      <c r="M114" s="217">
        <f>N54</f>
        <v>4634370</v>
      </c>
      <c r="N114" s="113">
        <f t="shared" si="27"/>
        <v>625630</v>
      </c>
      <c r="Q114" s="169">
        <v>60508</v>
      </c>
      <c r="R114" s="168" t="s">
        <v>4624</v>
      </c>
      <c r="S114" s="168">
        <f>S113-3</f>
        <v>102</v>
      </c>
      <c r="T114" s="168" t="s">
        <v>4982</v>
      </c>
      <c r="U114" s="168">
        <v>1204.7</v>
      </c>
      <c r="V114" s="99">
        <f t="shared" si="21"/>
        <v>1312.4562893150687</v>
      </c>
      <c r="W114" s="32">
        <f t="shared" si="22"/>
        <v>1338.7054151013701</v>
      </c>
      <c r="X114" s="32">
        <f t="shared" si="23"/>
        <v>1364.9545408876716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1"/>
        <v>-159883936</v>
      </c>
      <c r="AN114" s="99"/>
    </row>
    <row r="115" spans="6:46">
      <c r="F115" s="215"/>
      <c r="G115" s="215"/>
      <c r="H115" s="215" t="s">
        <v>3881</v>
      </c>
      <c r="I115" s="215" t="s">
        <v>4843</v>
      </c>
      <c r="J115" s="32" t="s">
        <v>4296</v>
      </c>
      <c r="K115" s="215">
        <v>4</v>
      </c>
      <c r="L115" s="1">
        <f t="shared" si="26"/>
        <v>21040000</v>
      </c>
      <c r="M115" s="1">
        <f>N55</f>
        <v>2574896</v>
      </c>
      <c r="N115" s="113">
        <f t="shared" si="27"/>
        <v>18465104</v>
      </c>
      <c r="Q115" s="39">
        <v>11121445</v>
      </c>
      <c r="R115" s="5" t="s">
        <v>4624</v>
      </c>
      <c r="S115" s="5">
        <f>S114</f>
        <v>102</v>
      </c>
      <c r="T115" s="5" t="s">
        <v>4858</v>
      </c>
      <c r="U115" s="168">
        <v>171.8</v>
      </c>
      <c r="V115" s="99">
        <f t="shared" si="21"/>
        <v>187.16692164383565</v>
      </c>
      <c r="W115" s="32">
        <f t="shared" si="22"/>
        <v>190.91026007671238</v>
      </c>
      <c r="X115" s="32">
        <f t="shared" si="23"/>
        <v>194.65359850958907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1"/>
        <v>16720000</v>
      </c>
      <c r="AN115" s="99"/>
    </row>
    <row r="116" spans="6:46">
      <c r="F116" s="200"/>
      <c r="G116" s="200"/>
      <c r="H116" s="200"/>
      <c r="I116" s="200"/>
      <c r="J116" s="216" t="s">
        <v>4669</v>
      </c>
      <c r="K116" s="200">
        <v>1</v>
      </c>
      <c r="L116" s="217">
        <f t="shared" si="26"/>
        <v>5260000</v>
      </c>
      <c r="M116" s="217">
        <f>N47+N49+N56</f>
        <v>1195204.6000000001</v>
      </c>
      <c r="N116" s="184">
        <f t="shared" si="27"/>
        <v>4064795.4</v>
      </c>
      <c r="Q116" s="35">
        <v>8978273</v>
      </c>
      <c r="R116" s="5" t="s">
        <v>4628</v>
      </c>
      <c r="S116" s="5">
        <f>S115-1</f>
        <v>101</v>
      </c>
      <c r="T116" s="5" t="s">
        <v>4629</v>
      </c>
      <c r="U116" s="168">
        <v>3405.9</v>
      </c>
      <c r="V116" s="99">
        <f t="shared" si="21"/>
        <v>3707.9333457534253</v>
      </c>
      <c r="W116" s="32">
        <f t="shared" ref="W116:W173" si="28">V116*(1+$W$19/100)</f>
        <v>3782.0920126684937</v>
      </c>
      <c r="X116" s="32">
        <f t="shared" ref="X116:X173" si="29">V116*(1+$X$19/100)</f>
        <v>3856.2506795835625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1"/>
        <v>292000000</v>
      </c>
      <c r="AN116" s="99"/>
    </row>
    <row r="117" spans="6:46">
      <c r="F117" s="215"/>
      <c r="G117" s="215"/>
      <c r="H117" s="215"/>
      <c r="I117" s="215"/>
      <c r="J117" s="32" t="s">
        <v>4815</v>
      </c>
      <c r="K117" s="215"/>
      <c r="L117" s="1"/>
      <c r="M117" s="1"/>
      <c r="N117" s="113">
        <v>50000000</v>
      </c>
      <c r="Q117" s="169">
        <v>12953846</v>
      </c>
      <c r="R117" s="168" t="s">
        <v>4628</v>
      </c>
      <c r="S117" s="168">
        <f>S116</f>
        <v>101</v>
      </c>
      <c r="T117" s="168" t="s">
        <v>4746</v>
      </c>
      <c r="U117" s="168">
        <v>4500.5</v>
      </c>
      <c r="V117" s="99">
        <f t="shared" si="21"/>
        <v>4899.6018739726032</v>
      </c>
      <c r="W117" s="32">
        <f t="shared" si="28"/>
        <v>4997.5939114520552</v>
      </c>
      <c r="X117" s="32">
        <f t="shared" si="29"/>
        <v>5095.5859489315071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00"/>
      <c r="G118" s="200"/>
      <c r="H118" s="200"/>
      <c r="I118" s="200"/>
      <c r="J118" s="216" t="s">
        <v>4951</v>
      </c>
      <c r="K118" s="200">
        <f>SUM(K108:K116)</f>
        <v>211</v>
      </c>
      <c r="L118" s="217"/>
      <c r="M118" s="217"/>
      <c r="N118" s="184"/>
      <c r="Q118" s="35">
        <v>4068640</v>
      </c>
      <c r="R118" s="5" t="s">
        <v>4634</v>
      </c>
      <c r="S118" s="5">
        <f>S117-1</f>
        <v>100</v>
      </c>
      <c r="T118" s="5" t="s">
        <v>4635</v>
      </c>
      <c r="U118" s="168">
        <v>3322.3</v>
      </c>
      <c r="V118" s="99">
        <f t="shared" si="21"/>
        <v>3614.3711298630137</v>
      </c>
      <c r="W118" s="32">
        <f t="shared" si="28"/>
        <v>3686.6585524602742</v>
      </c>
      <c r="X118" s="32">
        <f t="shared" si="29"/>
        <v>3758.9459750575343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1"/>
        <v>1000800000</v>
      </c>
      <c r="AN118" s="99"/>
    </row>
    <row r="119" spans="6:46">
      <c r="F119" s="215"/>
      <c r="G119" s="215"/>
      <c r="H119" s="215" t="s">
        <v>25</v>
      </c>
      <c r="I119" s="215"/>
      <c r="J119" s="32"/>
      <c r="K119" s="215">
        <v>8</v>
      </c>
      <c r="L119" s="39">
        <f>10*P58</f>
        <v>5260000</v>
      </c>
      <c r="M119" s="1">
        <f>K119*L119</f>
        <v>42080000</v>
      </c>
      <c r="N119" s="113">
        <f>SUM(N108:N117)-M119</f>
        <v>-30162436.600000031</v>
      </c>
      <c r="P119" s="114"/>
      <c r="Q119" s="35">
        <v>12656982</v>
      </c>
      <c r="R119" s="5" t="s">
        <v>4634</v>
      </c>
      <c r="S119" s="5">
        <f>S118</f>
        <v>100</v>
      </c>
      <c r="T119" s="5" t="s">
        <v>4636</v>
      </c>
      <c r="U119" s="168">
        <v>5249.9</v>
      </c>
      <c r="V119" s="99">
        <f t="shared" si="21"/>
        <v>5711.43093479452</v>
      </c>
      <c r="W119" s="32">
        <f t="shared" si="28"/>
        <v>5825.6595534904109</v>
      </c>
      <c r="X119" s="32">
        <f t="shared" si="29"/>
        <v>5939.8881721863008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4"/>
        <v>70</v>
      </c>
      <c r="AM119" s="117">
        <f t="shared" si="11"/>
        <v>-568930390</v>
      </c>
      <c r="AN119" s="99"/>
      <c r="AO119" t="s">
        <v>25</v>
      </c>
    </row>
    <row r="120" spans="6:46">
      <c r="F120" s="200"/>
      <c r="G120" s="200"/>
      <c r="H120" s="200"/>
      <c r="I120" s="200"/>
      <c r="J120" s="216"/>
      <c r="K120" s="248" t="s">
        <v>4977</v>
      </c>
      <c r="L120" s="217" t="s">
        <v>4253</v>
      </c>
      <c r="M120" s="217" t="s">
        <v>4678</v>
      </c>
      <c r="N120" s="184" t="s">
        <v>4679</v>
      </c>
      <c r="Q120" s="169">
        <v>100905</v>
      </c>
      <c r="R120" s="168" t="s">
        <v>4637</v>
      </c>
      <c r="S120" s="168">
        <f>S119-1</f>
        <v>99</v>
      </c>
      <c r="T120" s="168" t="s">
        <v>4643</v>
      </c>
      <c r="U120" s="168">
        <v>372</v>
      </c>
      <c r="V120" s="99">
        <f t="shared" si="21"/>
        <v>404.41801643835618</v>
      </c>
      <c r="W120" s="32">
        <f t="shared" si="28"/>
        <v>412.5063767671233</v>
      </c>
      <c r="X120" s="32">
        <f t="shared" si="29"/>
        <v>420.59473709589042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215"/>
      <c r="G121" s="215"/>
      <c r="H121" s="215"/>
      <c r="I121" s="215"/>
      <c r="J121" s="32" t="s">
        <v>4687</v>
      </c>
      <c r="K121" s="215"/>
      <c r="L121" s="1"/>
      <c r="M121" s="1"/>
      <c r="N121" s="113"/>
      <c r="Q121" s="35">
        <v>48637534</v>
      </c>
      <c r="R121" s="5" t="s">
        <v>4637</v>
      </c>
      <c r="S121" s="5">
        <f>S120</f>
        <v>99</v>
      </c>
      <c r="T121" s="5" t="s">
        <v>4641</v>
      </c>
      <c r="U121" s="168">
        <v>5330</v>
      </c>
      <c r="V121" s="99">
        <f t="shared" si="21"/>
        <v>5794.4839452054803</v>
      </c>
      <c r="W121" s="32">
        <f t="shared" si="28"/>
        <v>5910.3736241095903</v>
      </c>
      <c r="X121" s="32">
        <f t="shared" si="29"/>
        <v>6026.2633030136994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30">AL122+AK121</f>
        <v>66</v>
      </c>
      <c r="AM121" s="117">
        <f t="shared" ref="AM121:AM164" si="31">AJ121*AL121</f>
        <v>580800000</v>
      </c>
      <c r="AN121" s="99"/>
      <c r="AP121" t="s">
        <v>25</v>
      </c>
    </row>
    <row r="122" spans="6:46" ht="45">
      <c r="M122" t="s">
        <v>25</v>
      </c>
      <c r="Q122" s="35">
        <v>40048573</v>
      </c>
      <c r="R122" s="5" t="s">
        <v>4637</v>
      </c>
      <c r="S122" s="5">
        <f>S121</f>
        <v>99</v>
      </c>
      <c r="T122" s="5" t="s">
        <v>4642</v>
      </c>
      <c r="U122" s="168">
        <v>498.9</v>
      </c>
      <c r="V122" s="99">
        <f t="shared" si="21"/>
        <v>542.37674301369861</v>
      </c>
      <c r="W122" s="32">
        <f t="shared" si="28"/>
        <v>553.2242778739726</v>
      </c>
      <c r="X122" s="32">
        <f t="shared" si="29"/>
        <v>564.07181273424658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30"/>
        <v>66</v>
      </c>
      <c r="AM122" s="79">
        <f t="shared" si="31"/>
        <v>862726392</v>
      </c>
      <c r="AN122" s="207" t="s">
        <v>4625</v>
      </c>
    </row>
    <row r="123" spans="6:46">
      <c r="P123" s="114"/>
      <c r="Q123" s="169">
        <v>1000495</v>
      </c>
      <c r="R123" s="168" t="s">
        <v>4653</v>
      </c>
      <c r="S123" s="168">
        <f>S122-1</f>
        <v>98</v>
      </c>
      <c r="T123" s="168" t="s">
        <v>4717</v>
      </c>
      <c r="U123" s="168">
        <v>724.8</v>
      </c>
      <c r="V123" s="99">
        <f t="shared" si="21"/>
        <v>787.40683397260284</v>
      </c>
      <c r="W123" s="32">
        <f t="shared" si="28"/>
        <v>803.15497065205489</v>
      </c>
      <c r="X123" s="32">
        <f t="shared" si="29"/>
        <v>818.90310733150693</v>
      </c>
      <c r="Y123" t="s">
        <v>25</v>
      </c>
      <c r="AH123" s="89">
        <v>103</v>
      </c>
      <c r="AI123" s="90" t="s">
        <v>4628</v>
      </c>
      <c r="AJ123" s="90">
        <v>16727037</v>
      </c>
      <c r="AK123" s="89">
        <v>0</v>
      </c>
      <c r="AL123" s="89">
        <f t="shared" si="30"/>
        <v>65</v>
      </c>
      <c r="AM123" s="90">
        <f t="shared" si="31"/>
        <v>1087257405</v>
      </c>
      <c r="AN123" s="89" t="s">
        <v>4638</v>
      </c>
    </row>
    <row r="124" spans="6:46">
      <c r="F124" s="215" t="s">
        <v>4999</v>
      </c>
      <c r="G124" s="129" t="s">
        <v>5000</v>
      </c>
      <c r="H124" s="4" t="s">
        <v>4950</v>
      </c>
      <c r="I124" s="4" t="s">
        <v>4836</v>
      </c>
      <c r="J124" s="215" t="s">
        <v>4809</v>
      </c>
      <c r="K124" s="168" t="s">
        <v>4541</v>
      </c>
      <c r="L124" s="168" t="s">
        <v>4542</v>
      </c>
      <c r="M124" s="168" t="s">
        <v>4436</v>
      </c>
      <c r="N124" s="56" t="s">
        <v>190</v>
      </c>
      <c r="Q124" s="35">
        <v>37856769</v>
      </c>
      <c r="R124" s="5" t="s">
        <v>4653</v>
      </c>
      <c r="S124" s="5">
        <f>S123</f>
        <v>98</v>
      </c>
      <c r="T124" s="5" t="s">
        <v>4655</v>
      </c>
      <c r="U124" s="168">
        <v>5393.6</v>
      </c>
      <c r="V124" s="99">
        <f t="shared" si="21"/>
        <v>5859.4888241095905</v>
      </c>
      <c r="W124" s="32">
        <f t="shared" si="28"/>
        <v>5976.678600591782</v>
      </c>
      <c r="X124" s="32">
        <f t="shared" si="29"/>
        <v>6093.8683770739744</v>
      </c>
      <c r="AH124" s="99">
        <v>104</v>
      </c>
      <c r="AI124" s="113" t="s">
        <v>4628</v>
      </c>
      <c r="AJ124" s="113">
        <v>12000000</v>
      </c>
      <c r="AK124" s="99">
        <v>1</v>
      </c>
      <c r="AL124" s="99">
        <f t="shared" si="30"/>
        <v>65</v>
      </c>
      <c r="AM124" s="117">
        <f t="shared" si="31"/>
        <v>780000000</v>
      </c>
      <c r="AN124" s="99" t="s">
        <v>4639</v>
      </c>
      <c r="AQ124" t="s">
        <v>25</v>
      </c>
    </row>
    <row r="125" spans="6:46">
      <c r="F125" s="215" t="s">
        <v>4363</v>
      </c>
      <c r="G125" s="215" t="s">
        <v>941</v>
      </c>
      <c r="H125" s="215" t="s">
        <v>4541</v>
      </c>
      <c r="I125" s="215" t="s">
        <v>937</v>
      </c>
      <c r="J125" s="215" t="s">
        <v>4810</v>
      </c>
      <c r="K125" s="168" t="s">
        <v>4243</v>
      </c>
      <c r="L125" s="169">
        <v>1100000</v>
      </c>
      <c r="M125" s="169">
        <v>1637000</v>
      </c>
      <c r="N125" s="168">
        <f t="shared" ref="N125:N133" si="32">(M125-L125)*100/L125</f>
        <v>48.81818181818182</v>
      </c>
      <c r="Q125" s="35">
        <v>155151</v>
      </c>
      <c r="R125" s="5" t="s">
        <v>4664</v>
      </c>
      <c r="S125" s="5">
        <f>S124-3</f>
        <v>95</v>
      </c>
      <c r="T125" s="5" t="s">
        <v>4666</v>
      </c>
      <c r="U125" s="168">
        <v>5325.9</v>
      </c>
      <c r="V125" s="99">
        <f t="shared" si="21"/>
        <v>5773.6841621917802</v>
      </c>
      <c r="W125" s="32">
        <f t="shared" si="28"/>
        <v>5889.1578454356159</v>
      </c>
      <c r="X125" s="32">
        <f t="shared" si="29"/>
        <v>6004.6315286794515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0"/>
        <v>64</v>
      </c>
      <c r="AM125" s="90">
        <f t="shared" si="31"/>
        <v>5676650688</v>
      </c>
      <c r="AN125" s="89" t="s">
        <v>4640</v>
      </c>
      <c r="AP125" t="s">
        <v>25</v>
      </c>
    </row>
    <row r="126" spans="6:46">
      <c r="F126" s="1">
        <v>3307.5</v>
      </c>
      <c r="G126" s="1">
        <f>P46</f>
        <v>3798</v>
      </c>
      <c r="H126" s="215" t="s">
        <v>4391</v>
      </c>
      <c r="I126" s="215">
        <v>3761</v>
      </c>
      <c r="J126" s="1">
        <f>I126*G126</f>
        <v>14284278</v>
      </c>
      <c r="K126" s="5" t="s">
        <v>4536</v>
      </c>
      <c r="L126" s="169">
        <v>1100000</v>
      </c>
      <c r="M126" s="169">
        <v>4748000</v>
      </c>
      <c r="N126" s="168">
        <f t="shared" si="32"/>
        <v>331.63636363636363</v>
      </c>
      <c r="Q126" s="169">
        <v>109726</v>
      </c>
      <c r="R126" s="168" t="s">
        <v>4664</v>
      </c>
      <c r="S126" s="168">
        <f>S125</f>
        <v>95</v>
      </c>
      <c r="T126" s="168" t="s">
        <v>4667</v>
      </c>
      <c r="U126" s="168">
        <v>3900.7</v>
      </c>
      <c r="V126" s="99">
        <f t="shared" ref="V126:V157" si="33">U126*(1+$N$89+$Q$15*S126/36500)</f>
        <v>4228.6580317808221</v>
      </c>
      <c r="W126" s="32">
        <f t="shared" si="28"/>
        <v>4313.2311924164387</v>
      </c>
      <c r="X126" s="32">
        <f t="shared" si="29"/>
        <v>4397.8043530520554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1"/>
        <v>6363000</v>
      </c>
      <c r="AN126" s="99"/>
    </row>
    <row r="127" spans="6:46">
      <c r="F127" s="1">
        <v>5249.5</v>
      </c>
      <c r="G127" s="1">
        <f>P50</f>
        <v>6336.2</v>
      </c>
      <c r="H127" s="215" t="s">
        <v>4395</v>
      </c>
      <c r="I127" s="215">
        <v>7163</v>
      </c>
      <c r="J127" s="1">
        <f>I127*G127</f>
        <v>45386200.600000001</v>
      </c>
      <c r="K127" s="5" t="s">
        <v>4537</v>
      </c>
      <c r="L127" s="169">
        <v>1100000</v>
      </c>
      <c r="M127" s="169">
        <v>5137000</v>
      </c>
      <c r="N127" s="168">
        <f t="shared" si="32"/>
        <v>367</v>
      </c>
      <c r="Q127" s="35">
        <v>8938737</v>
      </c>
      <c r="R127" s="5" t="s">
        <v>4670</v>
      </c>
      <c r="S127" s="5">
        <f>S126-1</f>
        <v>94</v>
      </c>
      <c r="T127" s="5" t="s">
        <v>4672</v>
      </c>
      <c r="U127" s="168">
        <v>5179.5</v>
      </c>
      <c r="V127" s="99">
        <f t="shared" si="33"/>
        <v>5611.0020164383568</v>
      </c>
      <c r="W127" s="32">
        <f t="shared" si="28"/>
        <v>5723.2220567671238</v>
      </c>
      <c r="X127" s="32">
        <f t="shared" si="29"/>
        <v>5835.4420970958909</v>
      </c>
      <c r="AH127" s="149">
        <v>107</v>
      </c>
      <c r="AI127" s="189" t="s">
        <v>4637</v>
      </c>
      <c r="AJ127" s="189">
        <v>-48200</v>
      </c>
      <c r="AK127" s="149">
        <v>0</v>
      </c>
      <c r="AL127" s="149">
        <f t="shared" ref="AL127:AL164" si="34">AL128+AK127</f>
        <v>63</v>
      </c>
      <c r="AM127" s="189">
        <f t="shared" si="31"/>
        <v>-3036600</v>
      </c>
      <c r="AN127" s="149" t="s">
        <v>4648</v>
      </c>
    </row>
    <row r="128" spans="6:46">
      <c r="F128" s="1">
        <v>519.79999999999995</v>
      </c>
      <c r="G128" s="1">
        <f>P51</f>
        <v>686.6</v>
      </c>
      <c r="H128" s="215" t="s">
        <v>4410</v>
      </c>
      <c r="I128" s="215">
        <v>0</v>
      </c>
      <c r="J128" s="1">
        <f>I128*G128</f>
        <v>0</v>
      </c>
      <c r="K128" s="19" t="s">
        <v>4391</v>
      </c>
      <c r="L128" s="169">
        <v>1100000</v>
      </c>
      <c r="M128" s="169">
        <v>4300000</v>
      </c>
      <c r="N128" s="168">
        <f t="shared" si="32"/>
        <v>290.90909090909093</v>
      </c>
      <c r="P128" s="114"/>
      <c r="Q128" s="35">
        <v>2595417</v>
      </c>
      <c r="R128" s="5" t="s">
        <v>4680</v>
      </c>
      <c r="S128" s="5">
        <f>S127-1</f>
        <v>93</v>
      </c>
      <c r="T128" s="5" t="s">
        <v>4681</v>
      </c>
      <c r="U128" s="168">
        <v>4803</v>
      </c>
      <c r="V128" s="99">
        <f t="shared" si="33"/>
        <v>5199.4514630136991</v>
      </c>
      <c r="W128" s="32">
        <f t="shared" si="28"/>
        <v>5303.4404922739732</v>
      </c>
      <c r="X128" s="32">
        <f t="shared" si="29"/>
        <v>5407.4295215342472</v>
      </c>
      <c r="AH128" s="89">
        <v>108</v>
      </c>
      <c r="AI128" s="90" t="s">
        <v>4637</v>
      </c>
      <c r="AJ128" s="90">
        <v>39327293</v>
      </c>
      <c r="AK128" s="89">
        <v>4</v>
      </c>
      <c r="AL128" s="149">
        <f t="shared" si="34"/>
        <v>63</v>
      </c>
      <c r="AM128" s="189">
        <f t="shared" si="31"/>
        <v>2477619459</v>
      </c>
      <c r="AN128" s="89" t="s">
        <v>4649</v>
      </c>
    </row>
    <row r="129" spans="6:44">
      <c r="F129" s="1">
        <v>4051</v>
      </c>
      <c r="G129" s="1">
        <f>P52</f>
        <v>4759</v>
      </c>
      <c r="H129" s="215" t="s">
        <v>4538</v>
      </c>
      <c r="I129" s="215">
        <v>130</v>
      </c>
      <c r="J129" s="1">
        <f>I129*G129</f>
        <v>618670</v>
      </c>
      <c r="K129" s="5" t="s">
        <v>4410</v>
      </c>
      <c r="L129" s="169">
        <v>1100000</v>
      </c>
      <c r="M129" s="169">
        <v>3191000</v>
      </c>
      <c r="N129" s="168">
        <f t="shared" si="32"/>
        <v>190.09090909090909</v>
      </c>
      <c r="Q129" s="169">
        <v>2505816</v>
      </c>
      <c r="R129" s="168" t="s">
        <v>4680</v>
      </c>
      <c r="S129" s="168">
        <f>S128</f>
        <v>93</v>
      </c>
      <c r="T129" s="168" t="s">
        <v>4682</v>
      </c>
      <c r="U129" s="168">
        <v>3723</v>
      </c>
      <c r="V129" s="99">
        <f t="shared" si="33"/>
        <v>4030.3056000000006</v>
      </c>
      <c r="W129" s="32">
        <f t="shared" si="28"/>
        <v>4110.911712000001</v>
      </c>
      <c r="X129" s="32">
        <f t="shared" si="29"/>
        <v>4191.5178240000005</v>
      </c>
      <c r="AH129" s="89">
        <v>109</v>
      </c>
      <c r="AI129" s="90" t="s">
        <v>4664</v>
      </c>
      <c r="AJ129" s="90">
        <v>8749050</v>
      </c>
      <c r="AK129" s="89">
        <v>1</v>
      </c>
      <c r="AL129" s="89">
        <f t="shared" si="34"/>
        <v>59</v>
      </c>
      <c r="AM129" s="90">
        <f t="shared" si="31"/>
        <v>516193950</v>
      </c>
      <c r="AN129" s="89" t="s">
        <v>4668</v>
      </c>
      <c r="AQ129" t="s">
        <v>25</v>
      </c>
    </row>
    <row r="130" spans="6:44">
      <c r="F130" s="215"/>
      <c r="G130" s="215"/>
      <c r="H130" s="215"/>
      <c r="I130" s="215"/>
      <c r="J130" s="1">
        <f>SUM(J126:J129)</f>
        <v>60289148.600000001</v>
      </c>
      <c r="K130" s="5" t="s">
        <v>4538</v>
      </c>
      <c r="L130" s="169">
        <v>1100000</v>
      </c>
      <c r="M130" s="169">
        <v>5623000</v>
      </c>
      <c r="N130" s="168">
        <f t="shared" si="32"/>
        <v>411.18181818181819</v>
      </c>
      <c r="Q130" s="169">
        <v>183283</v>
      </c>
      <c r="R130" s="212" t="s">
        <v>4684</v>
      </c>
      <c r="S130" s="212">
        <f>S129-1</f>
        <v>92</v>
      </c>
      <c r="T130" s="212" t="s">
        <v>4694</v>
      </c>
      <c r="U130" s="212">
        <v>347.5</v>
      </c>
      <c r="V130" s="99">
        <f t="shared" si="33"/>
        <v>375.91693150684932</v>
      </c>
      <c r="W130" s="32">
        <f t="shared" si="28"/>
        <v>383.43527013698633</v>
      </c>
      <c r="X130" s="32">
        <f t="shared" si="29"/>
        <v>390.95360876712328</v>
      </c>
      <c r="Z130" t="s">
        <v>25</v>
      </c>
      <c r="AH130" s="99">
        <v>110</v>
      </c>
      <c r="AI130" s="113" t="s">
        <v>4670</v>
      </c>
      <c r="AJ130" s="113">
        <v>60000</v>
      </c>
      <c r="AK130" s="99">
        <v>1</v>
      </c>
      <c r="AL130" s="99">
        <f t="shared" si="34"/>
        <v>58</v>
      </c>
      <c r="AM130" s="117">
        <f t="shared" si="31"/>
        <v>3480000</v>
      </c>
      <c r="AN130" s="99" t="s">
        <v>4671</v>
      </c>
    </row>
    <row r="131" spans="6:44">
      <c r="F131" s="215"/>
      <c r="G131" s="215"/>
      <c r="H131" s="215"/>
      <c r="I131" s="215"/>
      <c r="J131" s="215" t="s">
        <v>6</v>
      </c>
      <c r="K131" s="19" t="s">
        <v>4395</v>
      </c>
      <c r="L131" s="169">
        <v>1100000</v>
      </c>
      <c r="M131" s="169">
        <v>7728000</v>
      </c>
      <c r="N131" s="168">
        <f t="shared" si="32"/>
        <v>602.5454545454545</v>
      </c>
      <c r="Q131" s="35">
        <v>559461</v>
      </c>
      <c r="R131" s="5" t="s">
        <v>4684</v>
      </c>
      <c r="S131" s="5">
        <f>S130</f>
        <v>92</v>
      </c>
      <c r="T131" s="5" t="s">
        <v>4691</v>
      </c>
      <c r="U131" s="212">
        <v>508.1</v>
      </c>
      <c r="V131" s="99">
        <f t="shared" si="33"/>
        <v>549.65005150684931</v>
      </c>
      <c r="W131" s="32">
        <f t="shared" si="28"/>
        <v>560.64305253698626</v>
      </c>
      <c r="X131" s="32">
        <f t="shared" si="29"/>
        <v>571.63605356712333</v>
      </c>
      <c r="AH131" s="20">
        <v>111</v>
      </c>
      <c r="AI131" s="117" t="s">
        <v>4680</v>
      </c>
      <c r="AJ131" s="117">
        <v>4750000</v>
      </c>
      <c r="AK131" s="20">
        <v>0</v>
      </c>
      <c r="AL131" s="99">
        <f t="shared" si="34"/>
        <v>57</v>
      </c>
      <c r="AM131" s="117">
        <f t="shared" si="31"/>
        <v>270750000</v>
      </c>
      <c r="AN131" s="20"/>
    </row>
    <row r="132" spans="6:44">
      <c r="K132" s="5" t="s">
        <v>4540</v>
      </c>
      <c r="L132" s="169">
        <v>1100000</v>
      </c>
      <c r="M132" s="169">
        <v>2904000</v>
      </c>
      <c r="N132" s="168">
        <f t="shared" si="32"/>
        <v>164</v>
      </c>
      <c r="Q132" s="35">
        <v>9376000</v>
      </c>
      <c r="R132" s="5" t="s">
        <v>4684</v>
      </c>
      <c r="S132" s="5">
        <f>S131</f>
        <v>92</v>
      </c>
      <c r="T132" s="5" t="s">
        <v>4692</v>
      </c>
      <c r="U132" s="212">
        <v>3184.1</v>
      </c>
      <c r="V132" s="99">
        <f t="shared" si="33"/>
        <v>3444.4808679452053</v>
      </c>
      <c r="W132" s="32">
        <f t="shared" si="28"/>
        <v>3513.3704853041095</v>
      </c>
      <c r="X132" s="32">
        <f t="shared" si="29"/>
        <v>3582.2601026630136</v>
      </c>
      <c r="AH132" s="89">
        <v>112</v>
      </c>
      <c r="AI132" s="90" t="s">
        <v>4680</v>
      </c>
      <c r="AJ132" s="90">
        <v>13101160</v>
      </c>
      <c r="AK132" s="89">
        <v>1</v>
      </c>
      <c r="AL132" s="89">
        <f t="shared" si="34"/>
        <v>57</v>
      </c>
      <c r="AM132" s="90">
        <f t="shared" si="31"/>
        <v>746766120</v>
      </c>
      <c r="AN132" s="89" t="s">
        <v>4685</v>
      </c>
      <c r="AQ132" t="s">
        <v>25</v>
      </c>
    </row>
    <row r="133" spans="6:44">
      <c r="K133" s="56" t="s">
        <v>1086</v>
      </c>
      <c r="L133" s="169">
        <v>1100000</v>
      </c>
      <c r="M133" s="169">
        <v>3400000</v>
      </c>
      <c r="N133" s="168">
        <f t="shared" si="32"/>
        <v>209.09090909090909</v>
      </c>
      <c r="P133" s="114"/>
      <c r="Q133" s="169">
        <v>128675</v>
      </c>
      <c r="R133" s="212" t="s">
        <v>4684</v>
      </c>
      <c r="S133" s="212">
        <f t="shared" ref="S133" si="35">S132</f>
        <v>92</v>
      </c>
      <c r="T133" s="212" t="s">
        <v>4693</v>
      </c>
      <c r="U133" s="212">
        <v>699.9</v>
      </c>
      <c r="V133" s="99">
        <f t="shared" si="33"/>
        <v>757.13456219178079</v>
      </c>
      <c r="W133" s="32">
        <f t="shared" si="28"/>
        <v>772.27725343561644</v>
      </c>
      <c r="X133" s="32">
        <f t="shared" si="29"/>
        <v>787.4199446794521</v>
      </c>
      <c r="AH133" s="20">
        <v>113</v>
      </c>
      <c r="AI133" s="117" t="s">
        <v>4684</v>
      </c>
      <c r="AJ133" s="117">
        <v>-980000</v>
      </c>
      <c r="AK133" s="20">
        <v>0</v>
      </c>
      <c r="AL133" s="99">
        <f t="shared" si="34"/>
        <v>56</v>
      </c>
      <c r="AM133" s="117">
        <f t="shared" si="31"/>
        <v>-54880000</v>
      </c>
      <c r="AN133" s="20"/>
    </row>
    <row r="134" spans="6:44">
      <c r="F134" s="215"/>
      <c r="G134" s="215"/>
      <c r="H134" s="215"/>
      <c r="I134" s="215"/>
      <c r="J134" s="215" t="s">
        <v>4961</v>
      </c>
      <c r="K134" s="246" t="s">
        <v>4569</v>
      </c>
      <c r="Q134" s="35">
        <v>13100555</v>
      </c>
      <c r="R134" s="5" t="s">
        <v>4705</v>
      </c>
      <c r="S134" s="5">
        <f>S133-1</f>
        <v>91</v>
      </c>
      <c r="T134" s="5" t="s">
        <v>4706</v>
      </c>
      <c r="U134" s="212">
        <v>3180.5</v>
      </c>
      <c r="V134" s="99">
        <f t="shared" si="33"/>
        <v>3438.146641095891</v>
      </c>
      <c r="W134" s="32">
        <f t="shared" si="28"/>
        <v>3506.9095739178088</v>
      </c>
      <c r="X134" s="32">
        <f t="shared" si="29"/>
        <v>3575.6725067397269</v>
      </c>
      <c r="AH134" s="89">
        <v>114</v>
      </c>
      <c r="AI134" s="90" t="s">
        <v>4684</v>
      </c>
      <c r="AJ134" s="90">
        <v>13301790</v>
      </c>
      <c r="AK134" s="89">
        <v>0</v>
      </c>
      <c r="AL134" s="89">
        <f t="shared" si="34"/>
        <v>56</v>
      </c>
      <c r="AM134" s="90">
        <f t="shared" si="31"/>
        <v>744900240</v>
      </c>
      <c r="AN134" s="89" t="s">
        <v>4685</v>
      </c>
    </row>
    <row r="135" spans="6:44">
      <c r="F135" s="215" t="s">
        <v>4363</v>
      </c>
      <c r="G135" s="215" t="s">
        <v>941</v>
      </c>
      <c r="H135" s="215" t="s">
        <v>4541</v>
      </c>
      <c r="I135" s="215" t="s">
        <v>937</v>
      </c>
      <c r="J135" s="215" t="s">
        <v>4810</v>
      </c>
      <c r="K135" s="246" t="s">
        <v>4570</v>
      </c>
      <c r="Q135" s="35">
        <v>622942</v>
      </c>
      <c r="R135" s="5" t="s">
        <v>4705</v>
      </c>
      <c r="S135" s="5">
        <f>S134</f>
        <v>91</v>
      </c>
      <c r="T135" s="5" t="s">
        <v>4707</v>
      </c>
      <c r="U135" s="212">
        <v>503.3</v>
      </c>
      <c r="V135" s="99">
        <f t="shared" si="33"/>
        <v>544.07143671232882</v>
      </c>
      <c r="W135" s="32">
        <f t="shared" si="28"/>
        <v>554.9528654465754</v>
      </c>
      <c r="X135" s="32">
        <f t="shared" si="29"/>
        <v>565.83429418082198</v>
      </c>
      <c r="Y135" t="s">
        <v>25</v>
      </c>
      <c r="AH135" s="20">
        <v>115</v>
      </c>
      <c r="AI135" s="117" t="s">
        <v>4684</v>
      </c>
      <c r="AJ135" s="117">
        <v>404000</v>
      </c>
      <c r="AK135" s="20">
        <v>5</v>
      </c>
      <c r="AL135" s="99">
        <f t="shared" si="34"/>
        <v>56</v>
      </c>
      <c r="AM135" s="117">
        <f t="shared" si="31"/>
        <v>22624000</v>
      </c>
      <c r="AN135" s="20" t="s">
        <v>4695</v>
      </c>
    </row>
    <row r="136" spans="6:44">
      <c r="F136" s="1">
        <v>3775.1</v>
      </c>
      <c r="G136" s="1">
        <f>P46</f>
        <v>3798</v>
      </c>
      <c r="H136" s="215" t="s">
        <v>4391</v>
      </c>
      <c r="I136" s="215">
        <v>1000</v>
      </c>
      <c r="J136" s="1">
        <f>I136*G136</f>
        <v>3798000</v>
      </c>
      <c r="K136" s="246" t="s">
        <v>4571</v>
      </c>
      <c r="Q136" s="35">
        <v>1472140</v>
      </c>
      <c r="R136" s="5" t="s">
        <v>4712</v>
      </c>
      <c r="S136" s="5">
        <f>S135-3</f>
        <v>88</v>
      </c>
      <c r="T136" s="5" t="s">
        <v>4715</v>
      </c>
      <c r="U136" s="168">
        <v>502</v>
      </c>
      <c r="V136" s="99">
        <f t="shared" si="33"/>
        <v>541.51083835616441</v>
      </c>
      <c r="W136" s="32">
        <f t="shared" si="28"/>
        <v>552.34105512328767</v>
      </c>
      <c r="X136" s="32">
        <f t="shared" si="29"/>
        <v>563.17127189041105</v>
      </c>
      <c r="Y136" t="s">
        <v>25</v>
      </c>
      <c r="AH136" s="89">
        <v>116</v>
      </c>
      <c r="AI136" s="90" t="s">
        <v>4718</v>
      </c>
      <c r="AJ136" s="90">
        <v>4291628</v>
      </c>
      <c r="AK136" s="89">
        <v>2</v>
      </c>
      <c r="AL136" s="89">
        <f t="shared" si="34"/>
        <v>51</v>
      </c>
      <c r="AM136" s="90">
        <f t="shared" si="31"/>
        <v>218873028</v>
      </c>
      <c r="AN136" s="89" t="s">
        <v>4720</v>
      </c>
    </row>
    <row r="137" spans="6:44">
      <c r="F137" s="1">
        <v>6250.1</v>
      </c>
      <c r="G137" s="1">
        <f>P50</f>
        <v>6336.2</v>
      </c>
      <c r="H137" s="215" t="s">
        <v>4962</v>
      </c>
      <c r="I137" s="215">
        <v>1000</v>
      </c>
      <c r="J137" s="1">
        <f t="shared" ref="J137:J139" si="36">I137*G137</f>
        <v>6336200</v>
      </c>
      <c r="Q137" s="35">
        <v>4394591</v>
      </c>
      <c r="R137" s="5" t="s">
        <v>4718</v>
      </c>
      <c r="S137" s="5">
        <f>S136-1</f>
        <v>87</v>
      </c>
      <c r="T137" s="5" t="s">
        <v>4719</v>
      </c>
      <c r="U137" s="168">
        <v>481.7</v>
      </c>
      <c r="V137" s="99">
        <f t="shared" si="33"/>
        <v>519.24356602739726</v>
      </c>
      <c r="W137" s="32">
        <f t="shared" si="28"/>
        <v>529.62843734794524</v>
      </c>
      <c r="X137" s="32">
        <f t="shared" si="29"/>
        <v>540.01330866849321</v>
      </c>
      <c r="Y137" t="s">
        <v>25</v>
      </c>
      <c r="Z137" t="s">
        <v>25</v>
      </c>
      <c r="AH137" s="20">
        <v>117</v>
      </c>
      <c r="AI137" s="117" t="s">
        <v>4725</v>
      </c>
      <c r="AJ137" s="117">
        <v>1000</v>
      </c>
      <c r="AK137" s="20">
        <v>5</v>
      </c>
      <c r="AL137" s="20">
        <f t="shared" si="34"/>
        <v>49</v>
      </c>
      <c r="AM137" s="117">
        <f t="shared" si="31"/>
        <v>49000</v>
      </c>
      <c r="AN137" s="20"/>
      <c r="AQ137" t="s">
        <v>25</v>
      </c>
    </row>
    <row r="138" spans="6:44">
      <c r="F138" s="1">
        <v>183</v>
      </c>
      <c r="G138" s="1">
        <f>P57</f>
        <v>198.5</v>
      </c>
      <c r="H138" s="215" t="s">
        <v>4243</v>
      </c>
      <c r="I138" s="215">
        <v>108344</v>
      </c>
      <c r="J138" s="1">
        <f t="shared" si="36"/>
        <v>21506284</v>
      </c>
      <c r="Q138" s="117">
        <v>4085110</v>
      </c>
      <c r="R138" s="19" t="s">
        <v>4721</v>
      </c>
      <c r="S138" s="19">
        <f>S137-1</f>
        <v>86</v>
      </c>
      <c r="T138" s="19" t="s">
        <v>4722</v>
      </c>
      <c r="U138" s="215">
        <v>3115.9</v>
      </c>
      <c r="V138" s="99">
        <f t="shared" si="33"/>
        <v>3356.3621128767127</v>
      </c>
      <c r="W138" s="32">
        <f t="shared" si="28"/>
        <v>3423.489355134247</v>
      </c>
      <c r="X138" s="32">
        <f t="shared" si="29"/>
        <v>3490.6165973917814</v>
      </c>
      <c r="Y138" t="s">
        <v>25</v>
      </c>
      <c r="AH138" s="121">
        <v>118</v>
      </c>
      <c r="AI138" s="79" t="s">
        <v>4733</v>
      </c>
      <c r="AJ138" s="79">
        <v>8739459</v>
      </c>
      <c r="AK138" s="121">
        <v>2</v>
      </c>
      <c r="AL138" s="121">
        <f t="shared" si="34"/>
        <v>44</v>
      </c>
      <c r="AM138" s="79">
        <f t="shared" si="31"/>
        <v>384536196</v>
      </c>
      <c r="AN138" s="121" t="s">
        <v>4668</v>
      </c>
    </row>
    <row r="139" spans="6:44">
      <c r="F139" s="1">
        <v>4485.1000000000004</v>
      </c>
      <c r="G139" s="1">
        <f>P52</f>
        <v>4759</v>
      </c>
      <c r="H139" s="215" t="s">
        <v>4538</v>
      </c>
      <c r="I139" s="215">
        <v>3</v>
      </c>
      <c r="J139" s="1">
        <f t="shared" si="36"/>
        <v>14277</v>
      </c>
      <c r="Q139" s="117">
        <v>205386</v>
      </c>
      <c r="R139" s="19" t="s">
        <v>4723</v>
      </c>
      <c r="S139" s="19">
        <f>S138</f>
        <v>86</v>
      </c>
      <c r="T139" s="19" t="s">
        <v>4724</v>
      </c>
      <c r="U139" s="215">
        <v>178.1</v>
      </c>
      <c r="V139" s="99">
        <f t="shared" si="33"/>
        <v>191.84444054794523</v>
      </c>
      <c r="W139" s="32">
        <f t="shared" si="28"/>
        <v>195.68132935890412</v>
      </c>
      <c r="X139" s="32">
        <f t="shared" si="29"/>
        <v>199.51821816986305</v>
      </c>
      <c r="AH139" s="121">
        <v>119</v>
      </c>
      <c r="AI139" s="79" t="s">
        <v>4734</v>
      </c>
      <c r="AJ139" s="79">
        <v>17595278</v>
      </c>
      <c r="AK139" s="121">
        <v>1</v>
      </c>
      <c r="AL139" s="121">
        <f t="shared" si="34"/>
        <v>42</v>
      </c>
      <c r="AM139" s="79">
        <f t="shared" si="31"/>
        <v>739001676</v>
      </c>
      <c r="AN139" s="121" t="s">
        <v>4738</v>
      </c>
    </row>
    <row r="140" spans="6:44">
      <c r="F140" s="215"/>
      <c r="G140" s="215"/>
      <c r="H140" s="215"/>
      <c r="I140" s="215"/>
      <c r="J140" s="1">
        <f>SUM(J136:J139)</f>
        <v>31654761</v>
      </c>
      <c r="Q140" s="117">
        <v>8398607</v>
      </c>
      <c r="R140" s="19" t="s">
        <v>4734</v>
      </c>
      <c r="S140" s="19">
        <f>S139-8</f>
        <v>78</v>
      </c>
      <c r="T140" s="19" t="s">
        <v>4736</v>
      </c>
      <c r="U140" s="215">
        <v>3120.5</v>
      </c>
      <c r="V140" s="99">
        <f t="shared" si="33"/>
        <v>3342.166641095891</v>
      </c>
      <c r="W140" s="32">
        <f t="shared" si="28"/>
        <v>3409.009973917809</v>
      </c>
      <c r="X140" s="32">
        <f t="shared" si="29"/>
        <v>3475.8533067397266</v>
      </c>
      <c r="AH140" s="121">
        <v>120</v>
      </c>
      <c r="AI140" s="79" t="s">
        <v>4737</v>
      </c>
      <c r="AJ140" s="79">
        <v>13335309</v>
      </c>
      <c r="AK140" s="121">
        <v>13</v>
      </c>
      <c r="AL140" s="121">
        <f t="shared" si="34"/>
        <v>41</v>
      </c>
      <c r="AM140" s="79">
        <f t="shared" si="31"/>
        <v>546747669</v>
      </c>
      <c r="AN140" s="121" t="s">
        <v>4685</v>
      </c>
    </row>
    <row r="141" spans="6:44">
      <c r="F141" s="215"/>
      <c r="G141" s="215"/>
      <c r="H141" s="215"/>
      <c r="I141" s="215"/>
      <c r="J141" s="215" t="s">
        <v>6</v>
      </c>
      <c r="Q141" s="117">
        <v>18565999</v>
      </c>
      <c r="R141" s="19" t="s">
        <v>4737</v>
      </c>
      <c r="S141" s="19">
        <f>S140-1</f>
        <v>77</v>
      </c>
      <c r="T141" s="19" t="s">
        <v>4745</v>
      </c>
      <c r="U141" s="215">
        <v>3112.4</v>
      </c>
      <c r="V141" s="99">
        <f t="shared" si="33"/>
        <v>3331.1036580821919</v>
      </c>
      <c r="W141" s="32">
        <f t="shared" si="28"/>
        <v>3397.725731243836</v>
      </c>
      <c r="X141" s="32">
        <f t="shared" si="29"/>
        <v>3464.3478044054796</v>
      </c>
      <c r="AA141" t="s">
        <v>25</v>
      </c>
      <c r="AH141" s="161">
        <v>121</v>
      </c>
      <c r="AI141" s="230" t="s">
        <v>4808</v>
      </c>
      <c r="AJ141" s="230">
        <v>50000000</v>
      </c>
      <c r="AK141" s="161">
        <v>11</v>
      </c>
      <c r="AL141" s="161">
        <f t="shared" si="34"/>
        <v>28</v>
      </c>
      <c r="AM141" s="230">
        <f t="shared" si="31"/>
        <v>1400000000</v>
      </c>
      <c r="AN141" s="161" t="s">
        <v>4811</v>
      </c>
      <c r="AP141" t="s">
        <v>25</v>
      </c>
    </row>
    <row r="142" spans="6:44">
      <c r="M142">
        <v>236</v>
      </c>
      <c r="N142">
        <v>3</v>
      </c>
      <c r="O142">
        <f>M142*N142</f>
        <v>708</v>
      </c>
      <c r="Q142" s="117">
        <v>5924703</v>
      </c>
      <c r="R142" s="19" t="s">
        <v>4748</v>
      </c>
      <c r="S142" s="19">
        <f>S141-3</f>
        <v>74</v>
      </c>
      <c r="T142" s="19" t="s">
        <v>4846</v>
      </c>
      <c r="U142" s="215">
        <v>489</v>
      </c>
      <c r="V142" s="99">
        <f t="shared" si="33"/>
        <v>522.23592328767131</v>
      </c>
      <c r="W142" s="32">
        <f t="shared" si="28"/>
        <v>532.68064175342477</v>
      </c>
      <c r="X142" s="32">
        <f t="shared" si="29"/>
        <v>543.12536021917822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17</v>
      </c>
      <c r="AM142" s="117">
        <f t="shared" si="31"/>
        <v>510000</v>
      </c>
      <c r="AN142" s="20"/>
    </row>
    <row r="143" spans="6:44">
      <c r="M143">
        <v>126</v>
      </c>
      <c r="N143">
        <v>1</v>
      </c>
      <c r="O143">
        <f>M143*N143</f>
        <v>126</v>
      </c>
      <c r="Q143" s="117">
        <v>164801</v>
      </c>
      <c r="R143" s="19" t="s">
        <v>4761</v>
      </c>
      <c r="S143" s="19">
        <f>S142-2</f>
        <v>72</v>
      </c>
      <c r="T143" s="19" t="s">
        <v>4766</v>
      </c>
      <c r="U143" s="215">
        <v>3095.1</v>
      </c>
      <c r="V143" s="99">
        <f t="shared" si="33"/>
        <v>3300.7163967123288</v>
      </c>
      <c r="W143" s="32">
        <f t="shared" si="28"/>
        <v>3366.7307246465753</v>
      </c>
      <c r="X143" s="32">
        <f t="shared" si="29"/>
        <v>3432.7450525808222</v>
      </c>
      <c r="AH143" s="20">
        <v>123</v>
      </c>
      <c r="AI143" s="117" t="s">
        <v>4886</v>
      </c>
      <c r="AJ143" s="117">
        <v>600000</v>
      </c>
      <c r="AK143" s="20">
        <v>1</v>
      </c>
      <c r="AL143" s="20">
        <f t="shared" si="34"/>
        <v>14</v>
      </c>
      <c r="AM143" s="117">
        <f t="shared" si="31"/>
        <v>8400000</v>
      </c>
      <c r="AN143" s="20"/>
      <c r="AR143" t="s">
        <v>25</v>
      </c>
    </row>
    <row r="144" spans="6:44">
      <c r="L144">
        <v>821</v>
      </c>
      <c r="M144">
        <v>590</v>
      </c>
      <c r="N144">
        <v>0</v>
      </c>
      <c r="O144" s="96">
        <f>M144*N144</f>
        <v>0</v>
      </c>
      <c r="Q144" s="117">
        <v>223613</v>
      </c>
      <c r="R144" s="19" t="s">
        <v>4761</v>
      </c>
      <c r="S144" s="19">
        <f>S143</f>
        <v>72</v>
      </c>
      <c r="T144" s="19" t="s">
        <v>4767</v>
      </c>
      <c r="U144" s="215">
        <v>4637.1000000000004</v>
      </c>
      <c r="V144" s="99">
        <f t="shared" si="33"/>
        <v>4945.1558926027401</v>
      </c>
      <c r="W144" s="32">
        <f t="shared" si="28"/>
        <v>5044.0590104547946</v>
      </c>
      <c r="X144" s="32">
        <f t="shared" si="29"/>
        <v>5142.96212830685</v>
      </c>
      <c r="AH144" s="20">
        <v>124</v>
      </c>
      <c r="AI144" s="117" t="s">
        <v>4894</v>
      </c>
      <c r="AJ144" s="117">
        <v>30000</v>
      </c>
      <c r="AK144" s="20">
        <v>3</v>
      </c>
      <c r="AL144" s="20">
        <f>AL148+AK144</f>
        <v>13</v>
      </c>
      <c r="AM144" s="117">
        <f t="shared" si="31"/>
        <v>390000</v>
      </c>
      <c r="AN144" s="20"/>
    </row>
    <row r="145" spans="10:44">
      <c r="Q145" s="117">
        <v>989631</v>
      </c>
      <c r="R145" s="19" t="s">
        <v>4761</v>
      </c>
      <c r="S145" s="19">
        <f>S144</f>
        <v>72</v>
      </c>
      <c r="T145" s="19" t="s">
        <v>4768</v>
      </c>
      <c r="U145" s="215">
        <v>3863</v>
      </c>
      <c r="V145" s="99">
        <f t="shared" si="33"/>
        <v>4119.630202739726</v>
      </c>
      <c r="W145" s="32">
        <f t="shared" si="28"/>
        <v>4202.0228067945209</v>
      </c>
      <c r="X145" s="32">
        <f t="shared" si="29"/>
        <v>4284.4154108493149</v>
      </c>
      <c r="AH145" s="20">
        <v>125</v>
      </c>
      <c r="AI145" s="117" t="s">
        <v>4901</v>
      </c>
      <c r="AJ145" s="117">
        <v>2250000</v>
      </c>
      <c r="AK145" s="20">
        <v>1</v>
      </c>
      <c r="AL145" s="20">
        <f>AL151+AK145</f>
        <v>7</v>
      </c>
      <c r="AM145" s="117">
        <f t="shared" ref="AM145:AM147" si="37">AJ145*AL145</f>
        <v>15750000</v>
      </c>
      <c r="AN145" s="20"/>
    </row>
    <row r="146" spans="10:44">
      <c r="J146" t="s">
        <v>25</v>
      </c>
      <c r="O146">
        <f>O142+O143+O144</f>
        <v>834</v>
      </c>
      <c r="Q146" s="117">
        <v>5001091</v>
      </c>
      <c r="R146" s="19" t="s">
        <v>4771</v>
      </c>
      <c r="S146" s="19">
        <f>S145-1</f>
        <v>71</v>
      </c>
      <c r="T146" s="19" t="s">
        <v>4772</v>
      </c>
      <c r="U146" s="215">
        <v>3125</v>
      </c>
      <c r="V146" s="99">
        <f t="shared" si="33"/>
        <v>3330.205479452055</v>
      </c>
      <c r="W146" s="32">
        <f t="shared" si="28"/>
        <v>3396.8095890410959</v>
      </c>
      <c r="X146" s="32">
        <f t="shared" si="29"/>
        <v>3463.4136986301373</v>
      </c>
      <c r="AH146" s="23">
        <v>126</v>
      </c>
      <c r="AI146" s="35" t="s">
        <v>4909</v>
      </c>
      <c r="AJ146" s="35">
        <v>-31412200</v>
      </c>
      <c r="AK146" s="23">
        <v>1</v>
      </c>
      <c r="AL146" s="23">
        <f>AL164+AK146</f>
        <v>1</v>
      </c>
      <c r="AM146" s="35">
        <f t="shared" si="37"/>
        <v>-31412200</v>
      </c>
      <c r="AN146" s="23" t="s">
        <v>4889</v>
      </c>
    </row>
    <row r="147" spans="10:44">
      <c r="Q147" s="117">
        <v>12497226</v>
      </c>
      <c r="R147" s="19" t="s">
        <v>4808</v>
      </c>
      <c r="S147" s="19">
        <f>S146-7</f>
        <v>64</v>
      </c>
      <c r="T147" s="19" t="s">
        <v>4812</v>
      </c>
      <c r="U147" s="215">
        <v>3307.5</v>
      </c>
      <c r="V147" s="99">
        <f t="shared" si="33"/>
        <v>3506.9286575342467</v>
      </c>
      <c r="W147" s="32">
        <f t="shared" si="28"/>
        <v>3577.0672306849315</v>
      </c>
      <c r="X147" s="32">
        <f t="shared" si="29"/>
        <v>3647.2058038356167</v>
      </c>
      <c r="Y147" s="96"/>
      <c r="Z147" s="96"/>
      <c r="AH147" s="20">
        <v>127</v>
      </c>
      <c r="AI147" s="117" t="s">
        <v>4920</v>
      </c>
      <c r="AJ147" s="117">
        <v>70000</v>
      </c>
      <c r="AK147" s="20">
        <v>9</v>
      </c>
      <c r="AL147" s="20">
        <f>AL165+AK147</f>
        <v>9</v>
      </c>
      <c r="AM147" s="117">
        <f t="shared" si="37"/>
        <v>630000</v>
      </c>
      <c r="AN147" s="20"/>
    </row>
    <row r="148" spans="10:44">
      <c r="Q148" s="117">
        <v>24695044</v>
      </c>
      <c r="R148" s="19" t="s">
        <v>4808</v>
      </c>
      <c r="S148" s="19">
        <f>S147</f>
        <v>64</v>
      </c>
      <c r="T148" s="19" t="s">
        <v>4813</v>
      </c>
      <c r="U148" s="215">
        <v>5249.5</v>
      </c>
      <c r="V148" s="99">
        <f t="shared" si="33"/>
        <v>5566.0232767123289</v>
      </c>
      <c r="W148" s="32">
        <f t="shared" si="28"/>
        <v>5677.3437422465759</v>
      </c>
      <c r="X148" s="32">
        <f t="shared" si="29"/>
        <v>5788.6642077808219</v>
      </c>
      <c r="Y148" s="96"/>
      <c r="Z148" s="96"/>
      <c r="AH148" s="99">
        <v>128</v>
      </c>
      <c r="AI148" s="113" t="s">
        <v>4934</v>
      </c>
      <c r="AJ148" s="113">
        <v>20000</v>
      </c>
      <c r="AK148" s="99">
        <v>10</v>
      </c>
      <c r="AL148" s="20">
        <f>AL166+AK148</f>
        <v>10</v>
      </c>
      <c r="AM148" s="117">
        <f t="shared" ref="AM148:AM149" si="38">AJ148*AL148</f>
        <v>200000</v>
      </c>
      <c r="AN148" s="20"/>
      <c r="AP148" t="s">
        <v>25</v>
      </c>
      <c r="AR148" t="s">
        <v>25</v>
      </c>
    </row>
    <row r="149" spans="10:44">
      <c r="Q149" s="117">
        <v>529210</v>
      </c>
      <c r="R149" s="19" t="s">
        <v>4808</v>
      </c>
      <c r="S149" s="19">
        <f>S148</f>
        <v>64</v>
      </c>
      <c r="T149" s="19" t="s">
        <v>4814</v>
      </c>
      <c r="U149" s="215">
        <v>4051</v>
      </c>
      <c r="V149" s="99">
        <f t="shared" si="33"/>
        <v>4295.2586520547948</v>
      </c>
      <c r="W149" s="32">
        <f t="shared" si="28"/>
        <v>4381.1638250958904</v>
      </c>
      <c r="X149" s="32">
        <f t="shared" si="29"/>
        <v>4467.0689981369869</v>
      </c>
      <c r="Y149" s="96"/>
      <c r="Z149" s="96"/>
      <c r="AH149" s="99">
        <v>129</v>
      </c>
      <c r="AI149" s="113" t="s">
        <v>4963</v>
      </c>
      <c r="AJ149" s="113">
        <v>1000000</v>
      </c>
      <c r="AK149" s="99">
        <v>1</v>
      </c>
      <c r="AL149" s="20">
        <f>AL167+AK149</f>
        <v>1</v>
      </c>
      <c r="AM149" s="117">
        <f t="shared" si="38"/>
        <v>1000000</v>
      </c>
      <c r="AN149" s="20"/>
    </row>
    <row r="150" spans="10:44">
      <c r="Q150" s="117">
        <v>5416530</v>
      </c>
      <c r="R150" s="19" t="s">
        <v>4820</v>
      </c>
      <c r="S150" s="19">
        <f>S149-1</f>
        <v>63</v>
      </c>
      <c r="T150" s="19" t="s">
        <v>4881</v>
      </c>
      <c r="U150" s="215">
        <v>5235</v>
      </c>
      <c r="V150" s="99">
        <f t="shared" si="33"/>
        <v>5546.6330958904118</v>
      </c>
      <c r="W150" s="32">
        <f t="shared" si="28"/>
        <v>5657.56575780822</v>
      </c>
      <c r="X150" s="32">
        <f t="shared" si="29"/>
        <v>5768.4984197260283</v>
      </c>
      <c r="Y150" s="96"/>
      <c r="Z150" s="96"/>
      <c r="AA150" s="114"/>
      <c r="AC150" s="114"/>
      <c r="AD150" s="114"/>
      <c r="AH150" s="99">
        <v>130</v>
      </c>
      <c r="AI150" s="113" t="s">
        <v>4965</v>
      </c>
      <c r="AJ150" s="113">
        <v>65630227</v>
      </c>
      <c r="AK150" s="99">
        <v>0</v>
      </c>
      <c r="AL150" s="20">
        <f t="shared" ref="AL150:AL162" si="39">AL168+AK150</f>
        <v>0</v>
      </c>
      <c r="AM150" s="117">
        <f t="shared" ref="AM150:AM163" si="40">AJ150*AL150</f>
        <v>0</v>
      </c>
      <c r="AN150" s="20" t="s">
        <v>4970</v>
      </c>
      <c r="AP150" t="s">
        <v>25</v>
      </c>
    </row>
    <row r="151" spans="10:44">
      <c r="P151" s="114"/>
      <c r="Q151" s="117">
        <v>153812</v>
      </c>
      <c r="R151" s="19" t="s">
        <v>4852</v>
      </c>
      <c r="S151" s="19">
        <f>S150-6</f>
        <v>57</v>
      </c>
      <c r="T151" s="19" t="s">
        <v>4853</v>
      </c>
      <c r="U151" s="215">
        <v>537.20000000000005</v>
      </c>
      <c r="V151" s="99">
        <f t="shared" si="33"/>
        <v>566.70626191780832</v>
      </c>
      <c r="W151" s="32">
        <f t="shared" si="28"/>
        <v>578.04038715616446</v>
      </c>
      <c r="X151" s="32">
        <f t="shared" si="29"/>
        <v>589.37451239452071</v>
      </c>
      <c r="Y151" s="96"/>
      <c r="Z151" s="96"/>
      <c r="AA151" s="114"/>
      <c r="AC151" s="114"/>
      <c r="AH151" s="99">
        <v>131</v>
      </c>
      <c r="AI151" s="113" t="s">
        <v>4965</v>
      </c>
      <c r="AJ151" s="113">
        <v>-3500000</v>
      </c>
      <c r="AK151" s="99">
        <v>6</v>
      </c>
      <c r="AL151" s="20">
        <f t="shared" si="39"/>
        <v>6</v>
      </c>
      <c r="AM151" s="117">
        <f t="shared" si="40"/>
        <v>-21000000</v>
      </c>
      <c r="AN151" s="20" t="s">
        <v>4969</v>
      </c>
    </row>
    <row r="152" spans="10:44">
      <c r="Q152" s="117">
        <v>1837912</v>
      </c>
      <c r="R152" s="19" t="s">
        <v>4856</v>
      </c>
      <c r="S152" s="19">
        <f>S151-1</f>
        <v>56</v>
      </c>
      <c r="T152" s="19" t="s">
        <v>4857</v>
      </c>
      <c r="U152" s="215">
        <v>296.60000000000002</v>
      </c>
      <c r="V152" s="99">
        <f t="shared" si="33"/>
        <v>312.66353095890418</v>
      </c>
      <c r="W152" s="32">
        <f t="shared" si="28"/>
        <v>318.91680157808224</v>
      </c>
      <c r="X152" s="32">
        <f t="shared" si="29"/>
        <v>325.17007219726037</v>
      </c>
      <c r="Y152" s="96"/>
      <c r="Z152" s="96"/>
      <c r="AA152" s="114"/>
      <c r="AC152" s="114"/>
      <c r="AD152" s="114"/>
      <c r="AH152" s="99">
        <v>132</v>
      </c>
      <c r="AI152" s="113" t="s">
        <v>4988</v>
      </c>
      <c r="AJ152" s="113">
        <v>2520000</v>
      </c>
      <c r="AK152" s="99">
        <v>12</v>
      </c>
      <c r="AL152" s="20">
        <f t="shared" si="39"/>
        <v>12</v>
      </c>
      <c r="AM152" s="117">
        <f t="shared" si="40"/>
        <v>30240000</v>
      </c>
      <c r="AN152" s="20"/>
    </row>
    <row r="153" spans="10:44">
      <c r="Q153" s="117">
        <v>104025</v>
      </c>
      <c r="R153" s="19" t="s">
        <v>974</v>
      </c>
      <c r="S153" s="19">
        <f>S152-3</f>
        <v>53</v>
      </c>
      <c r="T153" s="19" t="s">
        <v>4874</v>
      </c>
      <c r="U153" s="215">
        <v>295</v>
      </c>
      <c r="V153" s="99">
        <f t="shared" si="33"/>
        <v>310.29797260273978</v>
      </c>
      <c r="W153" s="32">
        <f t="shared" si="28"/>
        <v>316.50393205479457</v>
      </c>
      <c r="X153" s="32">
        <f t="shared" si="29"/>
        <v>322.70989150684937</v>
      </c>
      <c r="Y153" s="96"/>
      <c r="Z153" s="96"/>
      <c r="AH153" s="99">
        <v>133</v>
      </c>
      <c r="AI153" s="113" t="s">
        <v>5028</v>
      </c>
      <c r="AJ153" s="113">
        <v>1400000</v>
      </c>
      <c r="AK153" s="99">
        <v>4</v>
      </c>
      <c r="AL153" s="20">
        <f t="shared" si="39"/>
        <v>4</v>
      </c>
      <c r="AM153" s="117">
        <f t="shared" si="40"/>
        <v>5600000</v>
      </c>
      <c r="AN153" s="20"/>
    </row>
    <row r="154" spans="10:44">
      <c r="Q154" s="117">
        <v>10926171</v>
      </c>
      <c r="R154" s="19" t="s">
        <v>4883</v>
      </c>
      <c r="S154" s="19">
        <f>S153-2</f>
        <v>51</v>
      </c>
      <c r="T154" s="19" t="s">
        <v>4885</v>
      </c>
      <c r="U154" s="215">
        <v>5355.4</v>
      </c>
      <c r="V154" s="99">
        <f t="shared" si="33"/>
        <v>5624.9013347945202</v>
      </c>
      <c r="W154" s="32">
        <f t="shared" si="28"/>
        <v>5737.3993614904102</v>
      </c>
      <c r="X154" s="32">
        <f t="shared" si="29"/>
        <v>5849.8973881863012</v>
      </c>
      <c r="Y154" s="96"/>
      <c r="Z154" s="96"/>
      <c r="AH154" s="99">
        <v>134</v>
      </c>
      <c r="AI154" s="113" t="s">
        <v>5055</v>
      </c>
      <c r="AJ154" s="113">
        <v>1550000</v>
      </c>
      <c r="AK154" s="99">
        <v>2</v>
      </c>
      <c r="AL154" s="20">
        <f t="shared" si="39"/>
        <v>2</v>
      </c>
      <c r="AM154" s="117">
        <f t="shared" si="40"/>
        <v>3100000</v>
      </c>
      <c r="AN154" s="20"/>
    </row>
    <row r="155" spans="10:44">
      <c r="Q155" s="117">
        <v>146418</v>
      </c>
      <c r="R155" s="19" t="s">
        <v>4886</v>
      </c>
      <c r="S155" s="19">
        <f>S154-1</f>
        <v>50</v>
      </c>
      <c r="T155" s="19" t="s">
        <v>4887</v>
      </c>
      <c r="U155" s="215">
        <v>304.89999999999998</v>
      </c>
      <c r="V155" s="99">
        <f t="shared" si="33"/>
        <v>320.00967452054795</v>
      </c>
      <c r="W155" s="32">
        <f t="shared" si="28"/>
        <v>326.40986801095892</v>
      </c>
      <c r="X155" s="32">
        <f t="shared" si="29"/>
        <v>332.81006150136989</v>
      </c>
      <c r="Y155" s="96"/>
      <c r="Z155" s="96"/>
      <c r="AH155" s="99">
        <v>135</v>
      </c>
      <c r="AI155" s="113" t="s">
        <v>5000</v>
      </c>
      <c r="AJ155" s="113">
        <v>250000</v>
      </c>
      <c r="AK155" s="99">
        <v>6</v>
      </c>
      <c r="AL155" s="20">
        <f t="shared" si="39"/>
        <v>6</v>
      </c>
      <c r="AM155" s="117">
        <f t="shared" si="40"/>
        <v>1500000</v>
      </c>
      <c r="AN155" s="20"/>
    </row>
    <row r="156" spans="10:44">
      <c r="P156" s="114"/>
      <c r="Q156" s="169">
        <v>101344</v>
      </c>
      <c r="R156" s="215" t="s">
        <v>4909</v>
      </c>
      <c r="S156" s="215">
        <f>S155-5</f>
        <v>45</v>
      </c>
      <c r="T156" s="215" t="s">
        <v>4912</v>
      </c>
      <c r="U156" s="215">
        <v>113.6</v>
      </c>
      <c r="V156" s="99">
        <f t="shared" si="33"/>
        <v>118.79385424657535</v>
      </c>
      <c r="W156" s="32">
        <f t="shared" si="28"/>
        <v>121.16973133150685</v>
      </c>
      <c r="X156" s="32">
        <f t="shared" si="29"/>
        <v>123.54560841643837</v>
      </c>
      <c r="Y156" s="96"/>
      <c r="Z156" s="96"/>
      <c r="AH156" s="99">
        <v>136</v>
      </c>
      <c r="AI156" s="113" t="s">
        <v>5068</v>
      </c>
      <c r="AJ156" s="113">
        <v>-48527480</v>
      </c>
      <c r="AK156" s="99">
        <v>1</v>
      </c>
      <c r="AL156" s="20">
        <f t="shared" si="39"/>
        <v>1</v>
      </c>
      <c r="AM156" s="117">
        <f t="shared" si="40"/>
        <v>-48527480</v>
      </c>
      <c r="AN156" s="20" t="s">
        <v>5071</v>
      </c>
      <c r="AQ156" t="s">
        <v>25</v>
      </c>
    </row>
    <row r="157" spans="10:44">
      <c r="Q157" s="169">
        <v>2148718</v>
      </c>
      <c r="R157" s="215" t="s">
        <v>4909</v>
      </c>
      <c r="S157" s="215">
        <f>S156</f>
        <v>45</v>
      </c>
      <c r="T157" s="215" t="s">
        <v>4913</v>
      </c>
      <c r="U157" s="215">
        <v>3400.3</v>
      </c>
      <c r="V157" s="99">
        <f t="shared" si="33"/>
        <v>3555.7635791780831</v>
      </c>
      <c r="W157" s="32">
        <f t="shared" si="28"/>
        <v>3626.878850761645</v>
      </c>
      <c r="X157" s="32">
        <f t="shared" si="29"/>
        <v>3697.9941223452065</v>
      </c>
      <c r="Y157" s="96"/>
      <c r="Z157" s="96"/>
      <c r="AH157" s="99"/>
      <c r="AI157" s="113"/>
      <c r="AJ157" s="113"/>
      <c r="AK157" s="99"/>
      <c r="AL157" s="20">
        <f t="shared" si="39"/>
        <v>0</v>
      </c>
      <c r="AM157" s="117">
        <f t="shared" si="40"/>
        <v>0</v>
      </c>
      <c r="AN157" s="20"/>
    </row>
    <row r="158" spans="10:44">
      <c r="Q158" s="169">
        <v>119669</v>
      </c>
      <c r="R158" s="215" t="s">
        <v>981</v>
      </c>
      <c r="S158" s="215">
        <f>S157-2</f>
        <v>43</v>
      </c>
      <c r="T158" s="215" t="s">
        <v>4930</v>
      </c>
      <c r="U158" s="215">
        <v>3609.6</v>
      </c>
      <c r="V158" s="99">
        <f t="shared" ref="V158:V173" si="41">U158*(1+$N$89+$Q$15*S158/36500)</f>
        <v>3769.0948734246576</v>
      </c>
      <c r="W158" s="32">
        <f t="shared" si="28"/>
        <v>3844.4767708931508</v>
      </c>
      <c r="X158" s="32">
        <f t="shared" si="29"/>
        <v>3919.858668361644</v>
      </c>
      <c r="Y158" s="96"/>
      <c r="Z158" s="96"/>
      <c r="AH158" s="99"/>
      <c r="AI158" s="113"/>
      <c r="AJ158" s="113"/>
      <c r="AK158" s="99"/>
      <c r="AL158" s="20">
        <f t="shared" si="39"/>
        <v>0</v>
      </c>
      <c r="AM158" s="117">
        <f t="shared" si="40"/>
        <v>0</v>
      </c>
      <c r="AN158" s="20"/>
      <c r="AQ158" t="s">
        <v>25</v>
      </c>
    </row>
    <row r="159" spans="10:44">
      <c r="Q159" s="169">
        <v>102362</v>
      </c>
      <c r="R159" s="215" t="s">
        <v>4934</v>
      </c>
      <c r="S159" s="215">
        <f>S158-8</f>
        <v>35</v>
      </c>
      <c r="T159" s="215" t="s">
        <v>4937</v>
      </c>
      <c r="U159" s="215">
        <v>4430</v>
      </c>
      <c r="V159" s="99">
        <f t="shared" si="41"/>
        <v>4598.5584657534255</v>
      </c>
      <c r="W159" s="32">
        <f t="shared" si="28"/>
        <v>4690.5296350684939</v>
      </c>
      <c r="X159" s="32">
        <f t="shared" si="29"/>
        <v>4782.5008043835624</v>
      </c>
      <c r="Y159" s="96"/>
      <c r="Z159" s="96"/>
      <c r="AH159" s="99"/>
      <c r="AI159" s="113"/>
      <c r="AJ159" s="113"/>
      <c r="AK159" s="99"/>
      <c r="AL159" s="20">
        <f t="shared" si="39"/>
        <v>0</v>
      </c>
      <c r="AM159" s="117">
        <f t="shared" si="40"/>
        <v>0</v>
      </c>
      <c r="AN159" s="20"/>
      <c r="AP159" t="s">
        <v>25</v>
      </c>
      <c r="AQ159" t="s">
        <v>25</v>
      </c>
    </row>
    <row r="160" spans="10:44">
      <c r="Q160" s="169">
        <v>996877</v>
      </c>
      <c r="R160" s="215" t="s">
        <v>4963</v>
      </c>
      <c r="S160" s="215">
        <f>S159-10</f>
        <v>25</v>
      </c>
      <c r="T160" s="215" t="s">
        <v>4964</v>
      </c>
      <c r="U160" s="215">
        <v>4469.7</v>
      </c>
      <c r="V160" s="99">
        <f t="shared" si="41"/>
        <v>4605.480913972603</v>
      </c>
      <c r="W160" s="32">
        <f t="shared" si="28"/>
        <v>4697.5905322520548</v>
      </c>
      <c r="X160" s="32">
        <f t="shared" si="29"/>
        <v>4789.7001505315075</v>
      </c>
      <c r="Y160" t="s">
        <v>25</v>
      </c>
      <c r="AH160" s="99"/>
      <c r="AI160" s="113"/>
      <c r="AJ160" s="113"/>
      <c r="AK160" s="99"/>
      <c r="AL160" s="20">
        <f t="shared" si="39"/>
        <v>0</v>
      </c>
      <c r="AM160" s="117">
        <f t="shared" si="40"/>
        <v>0</v>
      </c>
      <c r="AN160" s="20"/>
      <c r="AQ160" t="s">
        <v>25</v>
      </c>
    </row>
    <row r="161" spans="6:40">
      <c r="Q161" s="169">
        <v>17086367</v>
      </c>
      <c r="R161" s="215" t="s">
        <v>4965</v>
      </c>
      <c r="S161" s="215">
        <f>S160-1</f>
        <v>24</v>
      </c>
      <c r="T161" s="215" t="s">
        <v>4973</v>
      </c>
      <c r="U161" s="215">
        <v>3751.1</v>
      </c>
      <c r="V161" s="99">
        <f t="shared" si="41"/>
        <v>3862.1736679452056</v>
      </c>
      <c r="W161" s="32">
        <f t="shared" si="28"/>
        <v>3939.4171413041099</v>
      </c>
      <c r="X161" s="32">
        <f t="shared" si="29"/>
        <v>4016.6606146630138</v>
      </c>
      <c r="AH161" s="99"/>
      <c r="AI161" s="113"/>
      <c r="AJ161" s="113"/>
      <c r="AK161" s="99"/>
      <c r="AL161" s="20">
        <f t="shared" si="39"/>
        <v>0</v>
      </c>
      <c r="AM161" s="117">
        <f t="shared" si="40"/>
        <v>0</v>
      </c>
      <c r="AN161" s="20"/>
    </row>
    <row r="162" spans="6:40">
      <c r="F162" t="s">
        <v>4890</v>
      </c>
      <c r="G162">
        <v>1200</v>
      </c>
      <c r="H162" t="s">
        <v>4891</v>
      </c>
      <c r="Q162" s="169">
        <v>26970108</v>
      </c>
      <c r="R162" s="215" t="s">
        <v>4965</v>
      </c>
      <c r="S162" s="215">
        <f>S161</f>
        <v>24</v>
      </c>
      <c r="T162" s="215" t="s">
        <v>4974</v>
      </c>
      <c r="U162" s="215">
        <v>6110.2</v>
      </c>
      <c r="V162" s="99">
        <f t="shared" si="41"/>
        <v>6291.1288810958904</v>
      </c>
      <c r="W162" s="32">
        <f t="shared" si="28"/>
        <v>6416.9514587178082</v>
      </c>
      <c r="X162" s="32">
        <f t="shared" si="29"/>
        <v>6542.7740363397261</v>
      </c>
      <c r="Y162" t="s">
        <v>25</v>
      </c>
      <c r="AH162" s="99"/>
      <c r="AI162" s="113"/>
      <c r="AJ162" s="113"/>
      <c r="AK162" s="99"/>
      <c r="AL162" s="20">
        <f t="shared" si="39"/>
        <v>0</v>
      </c>
      <c r="AM162" s="117">
        <f t="shared" si="40"/>
        <v>0</v>
      </c>
      <c r="AN162" s="20"/>
    </row>
    <row r="163" spans="6:40">
      <c r="G163">
        <v>1350</v>
      </c>
      <c r="H163" t="s">
        <v>4892</v>
      </c>
      <c r="Q163" s="169">
        <v>27144082</v>
      </c>
      <c r="R163" s="215" t="s">
        <v>4965</v>
      </c>
      <c r="S163" s="215">
        <f>S162</f>
        <v>24</v>
      </c>
      <c r="T163" s="215" t="s">
        <v>4975</v>
      </c>
      <c r="U163" s="215">
        <v>4568.6000000000004</v>
      </c>
      <c r="V163" s="99">
        <f t="shared" si="41"/>
        <v>4703.8806268493154</v>
      </c>
      <c r="W163" s="32">
        <f t="shared" si="28"/>
        <v>4797.958239386302</v>
      </c>
      <c r="X163" s="32">
        <f t="shared" si="29"/>
        <v>4892.0358519232877</v>
      </c>
      <c r="AH163" s="99"/>
      <c r="AI163" s="113"/>
      <c r="AJ163" s="113"/>
      <c r="AK163" s="99"/>
      <c r="AL163" s="20">
        <v>0</v>
      </c>
      <c r="AM163" s="117">
        <f t="shared" si="40"/>
        <v>0</v>
      </c>
      <c r="AN163" s="20"/>
    </row>
    <row r="164" spans="6:40">
      <c r="G164">
        <v>1050</v>
      </c>
      <c r="H164" t="s">
        <v>4893</v>
      </c>
      <c r="Q164" s="169">
        <v>6150141</v>
      </c>
      <c r="R164" s="215" t="s">
        <v>4965</v>
      </c>
      <c r="S164" s="215">
        <f>S163</f>
        <v>24</v>
      </c>
      <c r="T164" s="215" t="s">
        <v>4976</v>
      </c>
      <c r="U164" s="215">
        <v>180.6</v>
      </c>
      <c r="V164" s="99">
        <f t="shared" si="41"/>
        <v>185.94773917808217</v>
      </c>
      <c r="W164" s="32">
        <f t="shared" si="28"/>
        <v>189.66669396164383</v>
      </c>
      <c r="X164" s="32">
        <f t="shared" si="29"/>
        <v>193.38564874520546</v>
      </c>
      <c r="AH164" s="99"/>
      <c r="AI164" s="113"/>
      <c r="AJ164" s="113"/>
      <c r="AK164" s="99"/>
      <c r="AL164" s="99">
        <f t="shared" si="34"/>
        <v>0</v>
      </c>
      <c r="AM164" s="117">
        <f t="shared" si="31"/>
        <v>0</v>
      </c>
      <c r="AN164" s="99"/>
    </row>
    <row r="165" spans="6:40">
      <c r="P165" s="114"/>
      <c r="Q165" s="169">
        <v>1664165</v>
      </c>
      <c r="R165" s="215" t="s">
        <v>4979</v>
      </c>
      <c r="S165" s="215">
        <f>S164-1</f>
        <v>23</v>
      </c>
      <c r="T165" s="215" t="s">
        <v>4983</v>
      </c>
      <c r="U165" s="215">
        <v>4429.1000000000004</v>
      </c>
      <c r="V165" s="99">
        <f t="shared" si="41"/>
        <v>4556.852232328768</v>
      </c>
      <c r="W165" s="32">
        <f t="shared" si="28"/>
        <v>4647.9892769753433</v>
      </c>
      <c r="X165" s="32">
        <f t="shared" si="29"/>
        <v>4739.1263216219186</v>
      </c>
      <c r="AH165" s="99"/>
      <c r="AI165" s="99"/>
      <c r="AJ165" s="95">
        <f>SUM(AJ20:AJ164)</f>
        <v>531236633</v>
      </c>
      <c r="AK165" s="99"/>
      <c r="AL165" s="99"/>
      <c r="AM165" s="95">
        <f>SUM(AM20:AM164)</f>
        <v>64695484637</v>
      </c>
      <c r="AN165" s="95">
        <f>AM165*AN168/31</f>
        <v>34783214.272415452</v>
      </c>
    </row>
    <row r="166" spans="6:40">
      <c r="P166" s="114"/>
      <c r="Q166" s="169">
        <v>2521445</v>
      </c>
      <c r="R166" s="215" t="s">
        <v>4988</v>
      </c>
      <c r="S166" s="215">
        <f>S165-5</f>
        <v>18</v>
      </c>
      <c r="T166" s="215" t="s">
        <v>4991</v>
      </c>
      <c r="U166" s="215">
        <v>4450</v>
      </c>
      <c r="V166" s="99">
        <f t="shared" si="41"/>
        <v>4561.2865753424658</v>
      </c>
      <c r="W166" s="32">
        <f t="shared" si="28"/>
        <v>4652.5123068493149</v>
      </c>
      <c r="X166" s="32">
        <f t="shared" si="29"/>
        <v>4743.7380383561649</v>
      </c>
      <c r="AH166" s="99"/>
      <c r="AI166" s="99"/>
      <c r="AJ166" s="99" t="s">
        <v>4059</v>
      </c>
      <c r="AK166" s="99"/>
      <c r="AL166" s="99"/>
      <c r="AM166" s="99" t="s">
        <v>284</v>
      </c>
      <c r="AN166" s="99" t="s">
        <v>943</v>
      </c>
    </row>
    <row r="167" spans="6:40">
      <c r="Q167" s="169">
        <v>162112</v>
      </c>
      <c r="R167" s="215" t="s">
        <v>4994</v>
      </c>
      <c r="S167" s="215">
        <f>S166-1</f>
        <v>17</v>
      </c>
      <c r="T167" s="215" t="s">
        <v>4997</v>
      </c>
      <c r="U167" s="215">
        <v>632.79999999999995</v>
      </c>
      <c r="V167" s="99">
        <f t="shared" si="41"/>
        <v>648.13976547945208</v>
      </c>
      <c r="W167" s="32">
        <f t="shared" si="28"/>
        <v>661.10256078904115</v>
      </c>
      <c r="X167" s="32">
        <f t="shared" si="29"/>
        <v>674.06535609863022</v>
      </c>
      <c r="AH167" s="99"/>
      <c r="AI167" s="99"/>
      <c r="AJ167" s="99"/>
      <c r="AK167" s="99"/>
      <c r="AL167" s="99"/>
      <c r="AM167" s="99"/>
      <c r="AN167" s="99"/>
    </row>
    <row r="168" spans="6:40">
      <c r="Q168" s="169">
        <v>1399908</v>
      </c>
      <c r="R168" s="215" t="s">
        <v>5051</v>
      </c>
      <c r="S168" s="215">
        <f>S167-13</f>
        <v>4</v>
      </c>
      <c r="T168" s="215" t="s">
        <v>5052</v>
      </c>
      <c r="U168" s="215">
        <v>194</v>
      </c>
      <c r="V168" s="99">
        <f t="shared" si="41"/>
        <v>196.76808767123291</v>
      </c>
      <c r="W168" s="32">
        <f t="shared" si="28"/>
        <v>200.70344942465758</v>
      </c>
      <c r="X168" s="32">
        <f t="shared" si="29"/>
        <v>204.63881117808222</v>
      </c>
      <c r="AH168" s="99"/>
      <c r="AI168" s="99"/>
      <c r="AJ168" s="99"/>
      <c r="AK168" s="99"/>
      <c r="AL168" s="99"/>
      <c r="AM168" s="99" t="s">
        <v>4060</v>
      </c>
      <c r="AN168" s="99">
        <v>1.6667000000000001E-2</v>
      </c>
    </row>
    <row r="169" spans="6:40">
      <c r="Q169" s="169">
        <v>466793</v>
      </c>
      <c r="R169" s="215" t="s">
        <v>5057</v>
      </c>
      <c r="S169" s="215">
        <f>S168-3</f>
        <v>1</v>
      </c>
      <c r="T169" s="215" t="s">
        <v>5059</v>
      </c>
      <c r="U169" s="215">
        <v>4005.5</v>
      </c>
      <c r="V169" s="99">
        <f t="shared" si="41"/>
        <v>4053.4343123287672</v>
      </c>
      <c r="W169" s="32">
        <f t="shared" si="28"/>
        <v>4134.5029985753426</v>
      </c>
      <c r="X169" s="32">
        <f t="shared" si="29"/>
        <v>4215.5716848219181</v>
      </c>
      <c r="AH169" s="99"/>
      <c r="AI169" s="99"/>
      <c r="AJ169" s="99"/>
      <c r="AK169" s="99"/>
      <c r="AL169" s="99"/>
      <c r="AM169" s="99"/>
      <c r="AN169" s="99"/>
    </row>
    <row r="170" spans="6:40">
      <c r="P170" s="114"/>
      <c r="Q170" s="169">
        <v>250500</v>
      </c>
      <c r="R170" s="215" t="s">
        <v>5000</v>
      </c>
      <c r="S170" s="215">
        <f>S169-1</f>
        <v>0</v>
      </c>
      <c r="T170" s="215" t="s">
        <v>5062</v>
      </c>
      <c r="U170" s="215">
        <v>4087.6</v>
      </c>
      <c r="V170" s="99">
        <f t="shared" si="41"/>
        <v>4133.38112</v>
      </c>
      <c r="W170" s="32">
        <f t="shared" si="28"/>
        <v>4216.0487424000003</v>
      </c>
      <c r="X170" s="32">
        <f t="shared" si="29"/>
        <v>4298.7163648000005</v>
      </c>
      <c r="AH170" s="99"/>
      <c r="AI170" s="99" t="s">
        <v>4061</v>
      </c>
      <c r="AJ170" s="95">
        <f>AJ165+AN165</f>
        <v>566019847.2724154</v>
      </c>
      <c r="AK170" s="99"/>
      <c r="AL170" s="99"/>
      <c r="AM170" s="99"/>
      <c r="AN170" s="99"/>
    </row>
    <row r="171" spans="6:40">
      <c r="Q171" s="169">
        <v>1204033</v>
      </c>
      <c r="R171" s="215" t="s">
        <v>5064</v>
      </c>
      <c r="S171" s="215">
        <f>S170-3</f>
        <v>-3</v>
      </c>
      <c r="T171" s="215" t="s">
        <v>5067</v>
      </c>
      <c r="U171" s="215">
        <v>218.5</v>
      </c>
      <c r="V171" s="99">
        <f t="shared" si="41"/>
        <v>220.44435068493155</v>
      </c>
      <c r="W171" s="32">
        <f t="shared" si="28"/>
        <v>224.85323769863018</v>
      </c>
      <c r="X171" s="32">
        <f t="shared" si="29"/>
        <v>229.26212471232881</v>
      </c>
      <c r="AI171" t="s">
        <v>4064</v>
      </c>
      <c r="AJ171" s="114">
        <f>SUM(N44:N58)</f>
        <v>729983573</v>
      </c>
    </row>
    <row r="172" spans="6:40">
      <c r="P172" s="114"/>
      <c r="Q172" s="169">
        <v>1602603</v>
      </c>
      <c r="R172" s="215" t="s">
        <v>5069</v>
      </c>
      <c r="S172" s="215">
        <f>S171-1</f>
        <v>-4</v>
      </c>
      <c r="T172" s="215" t="s">
        <v>5070</v>
      </c>
      <c r="U172" s="215">
        <v>4079.8</v>
      </c>
      <c r="V172" s="99">
        <f t="shared" si="41"/>
        <v>4112.9749216438358</v>
      </c>
      <c r="W172" s="32">
        <f t="shared" si="28"/>
        <v>4195.2344200767129</v>
      </c>
      <c r="X172" s="32">
        <f t="shared" si="29"/>
        <v>4277.4939185095891</v>
      </c>
      <c r="AI172" t="s">
        <v>4136</v>
      </c>
      <c r="AJ172" s="114">
        <f>AJ171-AJ165</f>
        <v>198746940</v>
      </c>
      <c r="AM172" t="s">
        <v>25</v>
      </c>
    </row>
    <row r="173" spans="6:40">
      <c r="O173" s="96"/>
      <c r="P173" s="114"/>
      <c r="Q173" s="169"/>
      <c r="R173" s="168"/>
      <c r="S173" s="168"/>
      <c r="T173" s="168"/>
      <c r="U173" s="168"/>
      <c r="V173" s="99">
        <f t="shared" si="41"/>
        <v>0</v>
      </c>
      <c r="W173" s="32">
        <f t="shared" si="28"/>
        <v>0</v>
      </c>
      <c r="X173" s="32">
        <f t="shared" si="29"/>
        <v>0</v>
      </c>
      <c r="Y173" t="s">
        <v>25</v>
      </c>
      <c r="AI173" t="s">
        <v>943</v>
      </c>
      <c r="AJ173" s="114">
        <f>AN165</f>
        <v>34783214.272415452</v>
      </c>
      <c r="AN173" t="s">
        <v>25</v>
      </c>
    </row>
    <row r="174" spans="6:40">
      <c r="O174" s="96"/>
      <c r="Q174" s="113">
        <f>SUM(N46:N58)-SUM(Q94:Q173)</f>
        <v>82471588</v>
      </c>
      <c r="R174" s="112"/>
      <c r="S174" s="112"/>
      <c r="T174" s="112"/>
      <c r="U174" s="168"/>
      <c r="V174" s="99" t="s">
        <v>25</v>
      </c>
      <c r="W174" s="32"/>
      <c r="X174" s="32"/>
      <c r="AI174" t="s">
        <v>4065</v>
      </c>
      <c r="AJ174" s="114">
        <f>AJ171-AJ170</f>
        <v>163963725.7275846</v>
      </c>
      <c r="AN174" t="s">
        <v>25</v>
      </c>
    </row>
    <row r="175" spans="6:40">
      <c r="Q175" s="26"/>
      <c r="R175" s="181"/>
      <c r="S175" s="181"/>
      <c r="T175" t="s">
        <v>25</v>
      </c>
      <c r="U175" s="96" t="s">
        <v>25</v>
      </c>
      <c r="V175" s="96" t="s">
        <v>25</v>
      </c>
      <c r="W175" s="96" t="s">
        <v>25</v>
      </c>
      <c r="Y175" t="s">
        <v>25</v>
      </c>
      <c r="AM175" t="s">
        <v>25</v>
      </c>
    </row>
    <row r="176" spans="6:40">
      <c r="R176" s="32" t="s">
        <v>4573</v>
      </c>
      <c r="S176" s="32" t="s">
        <v>950</v>
      </c>
      <c r="T176" t="s">
        <v>25</v>
      </c>
      <c r="U176" s="96" t="s">
        <v>25</v>
      </c>
      <c r="V176" s="96" t="s">
        <v>25</v>
      </c>
      <c r="W176" s="96" t="s">
        <v>25</v>
      </c>
      <c r="X176" s="122" t="s">
        <v>25</v>
      </c>
      <c r="Y176" t="s">
        <v>25</v>
      </c>
      <c r="AJ176" t="s">
        <v>25</v>
      </c>
    </row>
    <row r="177" spans="16:44">
      <c r="R177" s="32">
        <v>2480</v>
      </c>
      <c r="S177" s="237">
        <v>13041741</v>
      </c>
      <c r="U177" s="96" t="s">
        <v>25</v>
      </c>
      <c r="V177" s="122" t="s">
        <v>25</v>
      </c>
      <c r="W177" s="96" t="s">
        <v>25</v>
      </c>
      <c r="X177" t="s">
        <v>25</v>
      </c>
    </row>
    <row r="178" spans="16:44">
      <c r="Q178" t="s">
        <v>25</v>
      </c>
      <c r="R178" s="32">
        <v>1450</v>
      </c>
      <c r="S178" s="1">
        <f>S177*R178/R177</f>
        <v>7625211.4717741935</v>
      </c>
      <c r="U178" s="96" t="s">
        <v>25</v>
      </c>
      <c r="V178" s="122" t="s">
        <v>25</v>
      </c>
      <c r="W178" s="96" t="s">
        <v>25</v>
      </c>
      <c r="X178" t="s">
        <v>25</v>
      </c>
    </row>
    <row r="179" spans="16:44">
      <c r="R179" s="32">
        <f>R177-R178</f>
        <v>1030</v>
      </c>
      <c r="S179" s="1">
        <f>R179*S177/R177</f>
        <v>5416529.5282258065</v>
      </c>
      <c r="U179" s="122" t="s">
        <v>25</v>
      </c>
      <c r="V179" s="96"/>
      <c r="W179"/>
      <c r="X179" t="s">
        <v>25</v>
      </c>
    </row>
    <row r="180" spans="16:44">
      <c r="P180">
        <f>R185+776</f>
        <v>1686541</v>
      </c>
      <c r="V180" s="96"/>
      <c r="W180"/>
      <c r="X180" t="s">
        <v>25</v>
      </c>
    </row>
    <row r="181" spans="16:44">
      <c r="Q181" s="99" t="s">
        <v>4463</v>
      </c>
      <c r="R181" s="99" t="s">
        <v>4465</v>
      </c>
      <c r="S181" s="99"/>
      <c r="T181" s="99" t="s">
        <v>4466</v>
      </c>
      <c r="U181" s="99"/>
      <c r="V181" s="99"/>
      <c r="W181" s="99" t="s">
        <v>4576</v>
      </c>
      <c r="AH181" s="99" t="s">
        <v>3641</v>
      </c>
      <c r="AI181" s="99" t="s">
        <v>180</v>
      </c>
      <c r="AJ181" s="99" t="s">
        <v>267</v>
      </c>
      <c r="AK181" s="99" t="s">
        <v>4058</v>
      </c>
      <c r="AL181" s="99" t="s">
        <v>4050</v>
      </c>
      <c r="AM181" s="99" t="s">
        <v>282</v>
      </c>
      <c r="AN181" s="99" t="s">
        <v>4293</v>
      </c>
    </row>
    <row r="182" spans="16:44">
      <c r="Q182" s="113">
        <v>1000</v>
      </c>
      <c r="R182" s="99">
        <v>0.25</v>
      </c>
      <c r="S182" s="99"/>
      <c r="T182" s="99">
        <f>1-R182</f>
        <v>0.75</v>
      </c>
      <c r="U182" s="99"/>
      <c r="V182" s="99"/>
      <c r="W182" s="99"/>
      <c r="AH182" s="99">
        <v>1</v>
      </c>
      <c r="AI182" s="99" t="s">
        <v>3949</v>
      </c>
      <c r="AJ182" s="117">
        <v>3555820</v>
      </c>
      <c r="AK182" s="99">
        <v>2</v>
      </c>
      <c r="AL182" s="99">
        <f>AK182+AL183</f>
        <v>292</v>
      </c>
      <c r="AM182" s="99">
        <f>AJ182*AL182</f>
        <v>1038299440</v>
      </c>
      <c r="AN182" s="99" t="s">
        <v>4313</v>
      </c>
      <c r="AR182" t="s">
        <v>25</v>
      </c>
    </row>
    <row r="183" spans="16:44">
      <c r="Q183" s="168" t="s">
        <v>4450</v>
      </c>
      <c r="R183" s="168" t="s">
        <v>4468</v>
      </c>
      <c r="S183" s="168" t="s">
        <v>4470</v>
      </c>
      <c r="T183" s="168"/>
      <c r="U183" s="168" t="s">
        <v>4464</v>
      </c>
      <c r="V183" s="56" t="s">
        <v>4467</v>
      </c>
      <c r="W183" s="99"/>
      <c r="X183" s="115"/>
      <c r="AH183" s="99">
        <v>2</v>
      </c>
      <c r="AI183" s="99" t="s">
        <v>4024</v>
      </c>
      <c r="AJ183" s="117">
        <v>1720837</v>
      </c>
      <c r="AK183" s="99">
        <v>51</v>
      </c>
      <c r="AL183" s="99">
        <f t="shared" ref="AL183:AL192" si="42">AK183+AL184</f>
        <v>290</v>
      </c>
      <c r="AM183" s="99">
        <f t="shared" ref="AM183:AM211" si="43">AJ183*AL183</f>
        <v>499042730</v>
      </c>
      <c r="AN183" s="99" t="s">
        <v>4314</v>
      </c>
    </row>
    <row r="184" spans="16:44">
      <c r="Q184" s="168" t="s">
        <v>751</v>
      </c>
      <c r="R184" s="56">
        <v>1716161</v>
      </c>
      <c r="S184" s="113">
        <f>R184*$T$269</f>
        <v>556163184.33224845</v>
      </c>
      <c r="T184" s="168"/>
      <c r="U184" s="168">
        <f>$Q$182*$T$182*S184/$R$208</f>
        <v>361.78756039767603</v>
      </c>
      <c r="V184" s="95">
        <f>S184+U184</f>
        <v>556163546.11980879</v>
      </c>
      <c r="W184" s="99">
        <f>R184*100/U266</f>
        <v>48.238341386356801</v>
      </c>
      <c r="X184" s="219"/>
      <c r="AH184" s="99">
        <v>3</v>
      </c>
      <c r="AI184" s="99" t="s">
        <v>4130</v>
      </c>
      <c r="AJ184" s="117">
        <v>150000</v>
      </c>
      <c r="AK184" s="99">
        <v>3</v>
      </c>
      <c r="AL184" s="99">
        <f t="shared" si="42"/>
        <v>239</v>
      </c>
      <c r="AM184" s="99">
        <f t="shared" si="43"/>
        <v>35850000</v>
      </c>
      <c r="AN184" s="99"/>
    </row>
    <row r="185" spans="16:44">
      <c r="Q185" s="168" t="s">
        <v>4452</v>
      </c>
      <c r="R185" s="56">
        <v>1685765</v>
      </c>
      <c r="S185" s="113">
        <f>R185*$T$269</f>
        <v>546312630.59576154</v>
      </c>
      <c r="T185" s="168"/>
      <c r="U185" s="215">
        <f>$Q$182*$T$182*S185/$R$208</f>
        <v>355.37971481334694</v>
      </c>
      <c r="V185" s="95">
        <f t="shared" ref="V185:V186" si="44">S185+U185</f>
        <v>546312985.97547638</v>
      </c>
      <c r="W185" s="99">
        <f>R185*100/U266</f>
        <v>47.383961975112925</v>
      </c>
      <c r="X185" s="115"/>
      <c r="Y185" t="s">
        <v>25</v>
      </c>
      <c r="AH185" s="99">
        <v>4</v>
      </c>
      <c r="AI185" s="99" t="s">
        <v>4145</v>
      </c>
      <c r="AJ185" s="117">
        <v>-95000</v>
      </c>
      <c r="AK185" s="99">
        <v>8</v>
      </c>
      <c r="AL185" s="99">
        <f t="shared" si="42"/>
        <v>236</v>
      </c>
      <c r="AM185" s="99">
        <f t="shared" si="43"/>
        <v>-22420000</v>
      </c>
      <c r="AN185" s="99"/>
    </row>
    <row r="186" spans="16:44">
      <c r="Q186" s="168" t="s">
        <v>4451</v>
      </c>
      <c r="R186" s="56">
        <v>53811</v>
      </c>
      <c r="S186" s="113">
        <f>R186*$T$269</f>
        <v>17438746.77964516</v>
      </c>
      <c r="T186" s="168"/>
      <c r="U186" s="215">
        <f>$Q$182*$T$182*S186/$R$208</f>
        <v>11.344011670559663</v>
      </c>
      <c r="V186" s="95">
        <f t="shared" si="44"/>
        <v>17438758.123656832</v>
      </c>
      <c r="W186" s="99">
        <f>R186*100/U266</f>
        <v>1.5125348894079551</v>
      </c>
      <c r="X186" s="115"/>
      <c r="AH186" s="99">
        <v>5</v>
      </c>
      <c r="AI186" s="99" t="s">
        <v>4172</v>
      </c>
      <c r="AJ186" s="117">
        <v>3150000</v>
      </c>
      <c r="AK186" s="99">
        <v>16</v>
      </c>
      <c r="AL186" s="99">
        <f t="shared" si="42"/>
        <v>228</v>
      </c>
      <c r="AM186" s="99">
        <f t="shared" si="43"/>
        <v>718200000</v>
      </c>
      <c r="AN186" s="99"/>
    </row>
    <row r="187" spans="16:44">
      <c r="Q187" s="168" t="s">
        <v>1087</v>
      </c>
      <c r="R187" s="56">
        <v>101933</v>
      </c>
      <c r="S187" s="113">
        <f>R187*$T$269</f>
        <v>33033836.492344879</v>
      </c>
      <c r="T187" s="168"/>
      <c r="U187" s="215">
        <f>$Q$182*$T$182*S187/$R$208</f>
        <v>21.48871311841739</v>
      </c>
      <c r="V187" s="95">
        <f>S187+U187</f>
        <v>33033857.981057998</v>
      </c>
      <c r="W187" s="99">
        <f>R187*100/U266</f>
        <v>2.8651617491223189</v>
      </c>
      <c r="X187" s="115"/>
      <c r="Z187" t="s">
        <v>25</v>
      </c>
      <c r="AH187" s="99">
        <v>6</v>
      </c>
      <c r="AI187" s="99" t="s">
        <v>4241</v>
      </c>
      <c r="AJ187" s="117">
        <v>-65000</v>
      </c>
      <c r="AK187" s="99">
        <v>1</v>
      </c>
      <c r="AL187" s="99">
        <f t="shared" si="42"/>
        <v>212</v>
      </c>
      <c r="AM187" s="99">
        <f t="shared" si="43"/>
        <v>-13780000</v>
      </c>
      <c r="AN187" s="99"/>
    </row>
    <row r="188" spans="16:44">
      <c r="Q188" s="168"/>
      <c r="R188" s="56"/>
      <c r="S188" s="168"/>
      <c r="T188" s="168"/>
      <c r="U188" s="168"/>
      <c r="V188" s="168"/>
      <c r="W188" s="99"/>
      <c r="X188" s="96"/>
      <c r="AH188" s="99">
        <v>7</v>
      </c>
      <c r="AI188" s="99" t="s">
        <v>4315</v>
      </c>
      <c r="AJ188" s="117">
        <v>-95000</v>
      </c>
      <c r="AK188" s="99">
        <v>6</v>
      </c>
      <c r="AL188" s="99">
        <f t="shared" si="42"/>
        <v>211</v>
      </c>
      <c r="AM188" s="99">
        <f t="shared" si="43"/>
        <v>-20045000</v>
      </c>
      <c r="AN188" s="99"/>
    </row>
    <row r="189" spans="16:44">
      <c r="Q189" s="168"/>
      <c r="R189" s="168"/>
      <c r="S189" s="168"/>
      <c r="T189" s="168"/>
      <c r="U189" s="168"/>
      <c r="V189" s="168"/>
      <c r="W189" s="99"/>
      <c r="X189" s="96"/>
      <c r="AH189" s="99">
        <v>8</v>
      </c>
      <c r="AI189" s="99" t="s">
        <v>4316</v>
      </c>
      <c r="AJ189" s="117">
        <v>232000</v>
      </c>
      <c r="AK189" s="99">
        <v>7</v>
      </c>
      <c r="AL189" s="99">
        <f t="shared" si="42"/>
        <v>205</v>
      </c>
      <c r="AM189" s="99">
        <f t="shared" si="43"/>
        <v>47560000</v>
      </c>
      <c r="AN189" s="99"/>
    </row>
    <row r="190" spans="16:44">
      <c r="Q190" s="99"/>
      <c r="R190" s="99"/>
      <c r="S190" s="99"/>
      <c r="T190" s="99" t="s">
        <v>25</v>
      </c>
      <c r="U190" s="99"/>
      <c r="V190" s="99"/>
      <c r="W190" s="99"/>
      <c r="X190" s="96"/>
      <c r="AH190" s="99">
        <v>9</v>
      </c>
      <c r="AI190" s="99" t="s">
        <v>4292</v>
      </c>
      <c r="AJ190" s="117">
        <v>13000000</v>
      </c>
      <c r="AK190" s="99">
        <v>2</v>
      </c>
      <c r="AL190" s="99">
        <f t="shared" si="42"/>
        <v>198</v>
      </c>
      <c r="AM190" s="99">
        <f t="shared" si="43"/>
        <v>2574000000</v>
      </c>
      <c r="AN190" s="99"/>
    </row>
    <row r="191" spans="16:44">
      <c r="Q191" s="99"/>
      <c r="R191" s="99"/>
      <c r="S191" s="99"/>
      <c r="T191" s="99"/>
      <c r="U191" s="99"/>
      <c r="V191" s="99"/>
      <c r="W191" s="99"/>
      <c r="X191" s="96"/>
      <c r="Y191" t="s">
        <v>25</v>
      </c>
      <c r="AH191" s="99">
        <v>10</v>
      </c>
      <c r="AI191" s="99" t="s">
        <v>4317</v>
      </c>
      <c r="AJ191" s="117">
        <v>10000000</v>
      </c>
      <c r="AK191" s="99">
        <v>3</v>
      </c>
      <c r="AL191" s="99">
        <f t="shared" si="42"/>
        <v>196</v>
      </c>
      <c r="AM191" s="99">
        <f t="shared" si="43"/>
        <v>1960000000</v>
      </c>
      <c r="AN191" s="99"/>
    </row>
    <row r="192" spans="16:44">
      <c r="Q192" s="99"/>
      <c r="R192" s="99"/>
      <c r="S192" s="99"/>
      <c r="T192" s="99"/>
      <c r="U192" s="99"/>
      <c r="V192" s="99"/>
      <c r="W192" s="99"/>
      <c r="X192" s="96"/>
      <c r="AH192" s="99">
        <v>11</v>
      </c>
      <c r="AI192" s="99" t="s">
        <v>4305</v>
      </c>
      <c r="AJ192" s="117">
        <v>3400000</v>
      </c>
      <c r="AK192" s="99">
        <v>9</v>
      </c>
      <c r="AL192" s="99">
        <f t="shared" si="42"/>
        <v>193</v>
      </c>
      <c r="AM192" s="99">
        <f t="shared" si="43"/>
        <v>656200000</v>
      </c>
      <c r="AN192" s="99"/>
    </row>
    <row r="193" spans="15:44">
      <c r="Q193" s="96"/>
      <c r="R193" s="96"/>
      <c r="S193" s="96"/>
      <c r="T193" s="96"/>
      <c r="V193" s="96"/>
      <c r="X193" s="115"/>
      <c r="AH193" s="99">
        <v>12</v>
      </c>
      <c r="AI193" s="99" t="s">
        <v>4347</v>
      </c>
      <c r="AJ193" s="117">
        <v>-8736514</v>
      </c>
      <c r="AK193" s="99">
        <v>1</v>
      </c>
      <c r="AL193" s="99">
        <f>AK193+AL194</f>
        <v>184</v>
      </c>
      <c r="AM193" s="99">
        <f t="shared" si="43"/>
        <v>-1607518576</v>
      </c>
      <c r="AN193" s="99"/>
    </row>
    <row r="194" spans="15:44">
      <c r="Q194" s="96"/>
      <c r="R194" s="96"/>
      <c r="S194" s="96"/>
      <c r="T194" s="96"/>
      <c r="V194" s="96"/>
      <c r="AH194" s="99">
        <v>13</v>
      </c>
      <c r="AI194" s="99" t="s">
        <v>4348</v>
      </c>
      <c r="AJ194" s="117">
        <v>555000</v>
      </c>
      <c r="AK194" s="99">
        <v>5</v>
      </c>
      <c r="AL194" s="99">
        <f t="shared" ref="AL194:AL210" si="45">AK194+AL195</f>
        <v>183</v>
      </c>
      <c r="AM194" s="99">
        <f t="shared" si="43"/>
        <v>101565000</v>
      </c>
      <c r="AN194" s="99"/>
    </row>
    <row r="195" spans="15:44">
      <c r="Q195" s="96"/>
      <c r="R195" s="96"/>
      <c r="S195" s="96"/>
      <c r="T195" s="96" t="s">
        <v>25</v>
      </c>
      <c r="V195" s="96"/>
      <c r="AH195" s="99">
        <v>14</v>
      </c>
      <c r="AI195" s="99" t="s">
        <v>4372</v>
      </c>
      <c r="AJ195" s="117">
        <v>-448308</v>
      </c>
      <c r="AK195" s="99">
        <v>6</v>
      </c>
      <c r="AL195" s="99">
        <f t="shared" si="45"/>
        <v>178</v>
      </c>
      <c r="AM195" s="99">
        <f t="shared" si="43"/>
        <v>-79798824</v>
      </c>
      <c r="AN195" s="99"/>
    </row>
    <row r="196" spans="15:44">
      <c r="Q196" s="96"/>
      <c r="R196" s="96"/>
      <c r="S196" s="96"/>
      <c r="T196" s="96"/>
      <c r="V196" s="96"/>
      <c r="AH196" s="99">
        <v>15</v>
      </c>
      <c r="AI196" s="99" t="s">
        <v>4404</v>
      </c>
      <c r="AJ196" s="117">
        <v>33225</v>
      </c>
      <c r="AK196" s="99">
        <v>0</v>
      </c>
      <c r="AL196" s="99">
        <f t="shared" si="45"/>
        <v>172</v>
      </c>
      <c r="AM196" s="99">
        <f t="shared" si="43"/>
        <v>5714700</v>
      </c>
      <c r="AN196" s="99"/>
    </row>
    <row r="197" spans="15:44">
      <c r="Q197" s="96"/>
      <c r="R197" s="96"/>
      <c r="S197" s="96"/>
      <c r="T197" s="99" t="s">
        <v>180</v>
      </c>
      <c r="U197" s="99" t="s">
        <v>4486</v>
      </c>
      <c r="V197" s="99" t="s">
        <v>4487</v>
      </c>
      <c r="W197" s="99" t="s">
        <v>4497</v>
      </c>
      <c r="X197" s="99" t="s">
        <v>8</v>
      </c>
      <c r="AH197" s="149">
        <v>16</v>
      </c>
      <c r="AI197" s="149" t="s">
        <v>4404</v>
      </c>
      <c r="AJ197" s="189">
        <v>4098523</v>
      </c>
      <c r="AK197" s="149">
        <v>2</v>
      </c>
      <c r="AL197" s="149">
        <f t="shared" si="45"/>
        <v>172</v>
      </c>
      <c r="AM197" s="149">
        <f t="shared" si="43"/>
        <v>704945956</v>
      </c>
      <c r="AN197" s="149" t="s">
        <v>657</v>
      </c>
    </row>
    <row r="198" spans="15:44">
      <c r="Q198" s="36" t="s">
        <v>4572</v>
      </c>
      <c r="R198" s="95">
        <f>SUM(N46:N58)</f>
        <v>729980800</v>
      </c>
      <c r="T198" s="113" t="s">
        <v>4462</v>
      </c>
      <c r="U198" s="56">
        <v>1000000</v>
      </c>
      <c r="V198" s="113">
        <v>239.024</v>
      </c>
      <c r="W198" s="113">
        <f t="shared" ref="W198:W264" si="46">U198*V198</f>
        <v>239024000</v>
      </c>
      <c r="X198" s="99"/>
      <c r="AH198" s="149">
        <v>17</v>
      </c>
      <c r="AI198" s="149" t="s">
        <v>4417</v>
      </c>
      <c r="AJ198" s="189">
        <v>-1000000</v>
      </c>
      <c r="AK198" s="149">
        <v>7</v>
      </c>
      <c r="AL198" s="149">
        <f t="shared" si="45"/>
        <v>170</v>
      </c>
      <c r="AM198" s="149">
        <f t="shared" si="43"/>
        <v>-170000000</v>
      </c>
      <c r="AN198" s="149" t="s">
        <v>657</v>
      </c>
    </row>
    <row r="199" spans="15:44">
      <c r="Q199" s="99" t="s">
        <v>4453</v>
      </c>
      <c r="R199" s="95">
        <f>SUM(N21:N26)</f>
        <v>381259615.50000006</v>
      </c>
      <c r="T199" s="168" t="s">
        <v>4444</v>
      </c>
      <c r="U199" s="56">
        <v>5904</v>
      </c>
      <c r="V199" s="113">
        <v>237.148</v>
      </c>
      <c r="W199" s="113">
        <f t="shared" si="46"/>
        <v>1400121.7919999999</v>
      </c>
      <c r="X199" s="99" t="s">
        <v>751</v>
      </c>
      <c r="AH199" s="149">
        <v>18</v>
      </c>
      <c r="AI199" s="149" t="s">
        <v>4440</v>
      </c>
      <c r="AJ199" s="189">
        <v>750000</v>
      </c>
      <c r="AK199" s="149">
        <v>1</v>
      </c>
      <c r="AL199" s="149">
        <f t="shared" si="45"/>
        <v>163</v>
      </c>
      <c r="AM199" s="149">
        <f t="shared" si="43"/>
        <v>122250000</v>
      </c>
      <c r="AN199" s="149" t="s">
        <v>657</v>
      </c>
      <c r="AQ199" t="s">
        <v>25</v>
      </c>
    </row>
    <row r="200" spans="15:44">
      <c r="P200" s="96"/>
      <c r="Q200" s="99" t="s">
        <v>4454</v>
      </c>
      <c r="R200" s="95">
        <f>SUM(N29:N33)</f>
        <v>38784421.700000003</v>
      </c>
      <c r="T200" s="168" t="s">
        <v>4232</v>
      </c>
      <c r="U200" s="168">
        <v>1000</v>
      </c>
      <c r="V200" s="113">
        <v>247.393</v>
      </c>
      <c r="W200" s="113">
        <f t="shared" si="46"/>
        <v>247393</v>
      </c>
      <c r="X200" s="99" t="s">
        <v>751</v>
      </c>
      <c r="AH200" s="196">
        <v>19</v>
      </c>
      <c r="AI200" s="196" t="s">
        <v>4442</v>
      </c>
      <c r="AJ200" s="197">
        <v>-604152</v>
      </c>
      <c r="AK200" s="196">
        <v>0</v>
      </c>
      <c r="AL200" s="196">
        <f t="shared" si="45"/>
        <v>162</v>
      </c>
      <c r="AM200" s="196">
        <f t="shared" si="43"/>
        <v>-97872624</v>
      </c>
      <c r="AN200" s="196" t="s">
        <v>657</v>
      </c>
    </row>
    <row r="201" spans="15:44">
      <c r="Q201" s="99" t="s">
        <v>4455</v>
      </c>
      <c r="R201" s="95">
        <f>N44</f>
        <v>2773</v>
      </c>
      <c r="T201" s="168" t="s">
        <v>4498</v>
      </c>
      <c r="U201" s="168">
        <v>8071</v>
      </c>
      <c r="V201" s="113">
        <v>247.797</v>
      </c>
      <c r="W201" s="113">
        <f t="shared" si="46"/>
        <v>1999969.5870000001</v>
      </c>
      <c r="X201" s="99" t="s">
        <v>4451</v>
      </c>
      <c r="AH201" s="99">
        <v>20</v>
      </c>
      <c r="AI201" s="99" t="s">
        <v>4443</v>
      </c>
      <c r="AJ201" s="117">
        <v>-587083</v>
      </c>
      <c r="AK201" s="99">
        <v>4</v>
      </c>
      <c r="AL201" s="99">
        <f t="shared" si="45"/>
        <v>162</v>
      </c>
      <c r="AM201" s="99">
        <f t="shared" si="43"/>
        <v>-95107446</v>
      </c>
      <c r="AN201" s="99"/>
    </row>
    <row r="202" spans="15:44">
      <c r="Q202" s="99" t="s">
        <v>4456</v>
      </c>
      <c r="R202" s="95">
        <f>N20</f>
        <v>2</v>
      </c>
      <c r="T202" s="168" t="s">
        <v>4498</v>
      </c>
      <c r="U202" s="168">
        <v>53672</v>
      </c>
      <c r="V202" s="113">
        <v>247.797</v>
      </c>
      <c r="W202" s="113">
        <f t="shared" si="46"/>
        <v>13299760.584000001</v>
      </c>
      <c r="X202" s="99" t="s">
        <v>452</v>
      </c>
      <c r="AH202" s="196">
        <v>21</v>
      </c>
      <c r="AI202" s="196" t="s">
        <v>4444</v>
      </c>
      <c r="AJ202" s="197">
        <v>-754351</v>
      </c>
      <c r="AK202" s="196">
        <v>0</v>
      </c>
      <c r="AL202" s="149">
        <f t="shared" si="45"/>
        <v>158</v>
      </c>
      <c r="AM202" s="196">
        <f t="shared" si="43"/>
        <v>-119187458</v>
      </c>
      <c r="AN202" s="196" t="s">
        <v>657</v>
      </c>
      <c r="AR202" t="s">
        <v>25</v>
      </c>
    </row>
    <row r="203" spans="15:44">
      <c r="Q203" s="99" t="s">
        <v>4457</v>
      </c>
      <c r="R203" s="95">
        <f>N28</f>
        <v>4531</v>
      </c>
      <c r="T203" s="168" t="s">
        <v>4506</v>
      </c>
      <c r="U203" s="168">
        <v>4099</v>
      </c>
      <c r="V203" s="113">
        <v>243.93</v>
      </c>
      <c r="W203" s="113">
        <f t="shared" si="46"/>
        <v>999869.07000000007</v>
      </c>
      <c r="X203" s="99" t="s">
        <v>4451</v>
      </c>
      <c r="AH203" s="99">
        <v>22</v>
      </c>
      <c r="AI203" s="99" t="s">
        <v>4444</v>
      </c>
      <c r="AJ203" s="117">
        <v>-189619</v>
      </c>
      <c r="AK203" s="99">
        <v>15</v>
      </c>
      <c r="AL203" s="99">
        <f t="shared" si="45"/>
        <v>158</v>
      </c>
      <c r="AM203" s="99">
        <f t="shared" si="43"/>
        <v>-29959802</v>
      </c>
      <c r="AN203" s="99"/>
    </row>
    <row r="204" spans="15:44">
      <c r="Q204" s="99" t="s">
        <v>4469</v>
      </c>
      <c r="R204" s="95">
        <v>0</v>
      </c>
      <c r="T204" s="168" t="s">
        <v>4506</v>
      </c>
      <c r="U204" s="168">
        <v>9301</v>
      </c>
      <c r="V204" s="113">
        <v>243.93</v>
      </c>
      <c r="W204" s="113">
        <f t="shared" si="46"/>
        <v>2268792.9300000002</v>
      </c>
      <c r="X204" s="99" t="s">
        <v>452</v>
      </c>
      <c r="AH204" s="196">
        <v>23</v>
      </c>
      <c r="AI204" s="196" t="s">
        <v>4516</v>
      </c>
      <c r="AJ204" s="189">
        <v>7100</v>
      </c>
      <c r="AK204" s="196">
        <v>0</v>
      </c>
      <c r="AL204" s="149">
        <f t="shared" si="45"/>
        <v>143</v>
      </c>
      <c r="AM204" s="196">
        <f t="shared" si="43"/>
        <v>1015300</v>
      </c>
      <c r="AN204" s="196" t="s">
        <v>657</v>
      </c>
    </row>
    <row r="205" spans="15:44">
      <c r="Q205" s="99" t="s">
        <v>5029</v>
      </c>
      <c r="R205" s="95">
        <v>1196360</v>
      </c>
      <c r="T205" s="168" t="s">
        <v>4512</v>
      </c>
      <c r="U205" s="168">
        <v>8334</v>
      </c>
      <c r="V205" s="113">
        <v>239.97</v>
      </c>
      <c r="W205" s="113">
        <f t="shared" si="46"/>
        <v>1999909.98</v>
      </c>
      <c r="X205" s="99" t="s">
        <v>4451</v>
      </c>
      <c r="AH205" s="20">
        <v>24</v>
      </c>
      <c r="AI205" s="20" t="s">
        <v>4516</v>
      </c>
      <c r="AJ205" s="117">
        <v>-147902</v>
      </c>
      <c r="AK205" s="20">
        <v>3</v>
      </c>
      <c r="AL205" s="99">
        <f t="shared" si="45"/>
        <v>143</v>
      </c>
      <c r="AM205" s="20">
        <f t="shared" si="43"/>
        <v>-21149986</v>
      </c>
      <c r="AN205" s="20"/>
      <c r="AR205" t="s">
        <v>25</v>
      </c>
    </row>
    <row r="206" spans="15:44">
      <c r="Q206" s="99" t="s">
        <v>4932</v>
      </c>
      <c r="R206" s="95">
        <v>200000</v>
      </c>
      <c r="T206" s="168" t="s">
        <v>4231</v>
      </c>
      <c r="U206" s="168">
        <v>29041</v>
      </c>
      <c r="V206" s="113">
        <v>233.45</v>
      </c>
      <c r="W206" s="113">
        <f t="shared" si="46"/>
        <v>6779621.4499999993</v>
      </c>
      <c r="X206" s="99" t="s">
        <v>751</v>
      </c>
      <c r="AH206" s="149">
        <v>25</v>
      </c>
      <c r="AI206" s="149" t="s">
        <v>4524</v>
      </c>
      <c r="AJ206" s="189">
        <v>-37200</v>
      </c>
      <c r="AK206" s="149">
        <v>4</v>
      </c>
      <c r="AL206" s="149">
        <f t="shared" si="45"/>
        <v>140</v>
      </c>
      <c r="AM206" s="196">
        <f t="shared" si="43"/>
        <v>-5208000</v>
      </c>
      <c r="AN206" s="149" t="s">
        <v>657</v>
      </c>
    </row>
    <row r="207" spans="15:44">
      <c r="O207" t="s">
        <v>25</v>
      </c>
      <c r="P207" s="96"/>
      <c r="Q207" s="99" t="s">
        <v>5072</v>
      </c>
      <c r="R207" s="95">
        <v>1519895</v>
      </c>
      <c r="S207" s="115"/>
      <c r="T207" s="168" t="s">
        <v>994</v>
      </c>
      <c r="U207" s="168">
        <v>12337</v>
      </c>
      <c r="V207" s="113">
        <v>243.16300000000001</v>
      </c>
      <c r="W207" s="113">
        <f t="shared" si="46"/>
        <v>2999901.9310000003</v>
      </c>
      <c r="X207" s="99" t="s">
        <v>4451</v>
      </c>
      <c r="AH207" s="99">
        <v>26</v>
      </c>
      <c r="AI207" s="99" t="s">
        <v>4555</v>
      </c>
      <c r="AJ207" s="117">
        <v>-372326</v>
      </c>
      <c r="AK207" s="99">
        <v>21</v>
      </c>
      <c r="AL207" s="99">
        <f t="shared" si="45"/>
        <v>136</v>
      </c>
      <c r="AM207" s="20">
        <f t="shared" si="43"/>
        <v>-50636336</v>
      </c>
      <c r="AN207" s="99"/>
    </row>
    <row r="208" spans="15:44">
      <c r="Q208" s="99" t="s">
        <v>4461</v>
      </c>
      <c r="R208" s="95">
        <f>SUM(R198:R207)</f>
        <v>1152948398.2</v>
      </c>
      <c r="S208" s="122"/>
      <c r="T208" s="168" t="s">
        <v>4595</v>
      </c>
      <c r="U208" s="168">
        <v>-16118</v>
      </c>
      <c r="V208" s="113">
        <v>248.17</v>
      </c>
      <c r="W208" s="113">
        <f t="shared" si="46"/>
        <v>-4000004.0599999996</v>
      </c>
      <c r="X208" s="99" t="s">
        <v>751</v>
      </c>
      <c r="AH208" s="99">
        <v>27</v>
      </c>
      <c r="AI208" s="99" t="s">
        <v>4609</v>
      </c>
      <c r="AJ208" s="117">
        <v>235062</v>
      </c>
      <c r="AK208" s="99">
        <v>0</v>
      </c>
      <c r="AL208" s="99">
        <f t="shared" si="45"/>
        <v>115</v>
      </c>
      <c r="AM208" s="20">
        <f t="shared" si="43"/>
        <v>27032130</v>
      </c>
      <c r="AN208" s="99"/>
    </row>
    <row r="209" spans="16:45">
      <c r="Q209" s="96"/>
      <c r="S209" s="115"/>
      <c r="T209" s="168" t="s">
        <v>4624</v>
      </c>
      <c r="U209" s="168">
        <v>101681</v>
      </c>
      <c r="V209" s="113">
        <v>246.5711</v>
      </c>
      <c r="W209" s="113">
        <f t="shared" si="46"/>
        <v>25071596.019099999</v>
      </c>
      <c r="X209" s="99" t="s">
        <v>452</v>
      </c>
      <c r="AH209" s="149">
        <v>28</v>
      </c>
      <c r="AI209" s="149" t="s">
        <v>4609</v>
      </c>
      <c r="AJ209" s="189">
        <v>235062</v>
      </c>
      <c r="AK209" s="149">
        <v>9</v>
      </c>
      <c r="AL209" s="99">
        <f t="shared" si="45"/>
        <v>115</v>
      </c>
      <c r="AM209" s="149">
        <f t="shared" si="43"/>
        <v>27032130</v>
      </c>
      <c r="AN209" s="149" t="s">
        <v>657</v>
      </c>
      <c r="AP209" t="s">
        <v>25</v>
      </c>
    </row>
    <row r="210" spans="16:45">
      <c r="Q210" s="96"/>
      <c r="R210" s="182"/>
      <c r="S210" s="115"/>
      <c r="T210" s="168" t="s">
        <v>4628</v>
      </c>
      <c r="U210" s="168">
        <v>66606</v>
      </c>
      <c r="V210" s="113">
        <v>251.131</v>
      </c>
      <c r="W210" s="113">
        <f t="shared" si="46"/>
        <v>16726831.386</v>
      </c>
      <c r="X210" s="99" t="s">
        <v>751</v>
      </c>
      <c r="Z210" t="s">
        <v>25</v>
      </c>
      <c r="AH210" s="149">
        <v>29</v>
      </c>
      <c r="AI210" s="149" t="s">
        <v>4637</v>
      </c>
      <c r="AJ210" s="189">
        <v>450000</v>
      </c>
      <c r="AK210" s="149">
        <v>0</v>
      </c>
      <c r="AL210" s="99">
        <f t="shared" si="45"/>
        <v>106</v>
      </c>
      <c r="AM210" s="149">
        <f t="shared" si="43"/>
        <v>47700000</v>
      </c>
      <c r="AN210" s="149" t="s">
        <v>657</v>
      </c>
    </row>
    <row r="211" spans="16:45">
      <c r="Q211" s="96"/>
      <c r="R211" s="182"/>
      <c r="T211" s="168" t="s">
        <v>4634</v>
      </c>
      <c r="U211" s="168">
        <v>172025</v>
      </c>
      <c r="V211" s="113">
        <v>245.52809999999999</v>
      </c>
      <c r="W211" s="113">
        <f t="shared" si="46"/>
        <v>42236971.402499996</v>
      </c>
      <c r="X211" s="99" t="s">
        <v>452</v>
      </c>
      <c r="AH211" s="20">
        <v>30</v>
      </c>
      <c r="AI211" s="20" t="s">
        <v>4637</v>
      </c>
      <c r="AJ211" s="117">
        <v>450000</v>
      </c>
      <c r="AK211" s="20">
        <v>22</v>
      </c>
      <c r="AL211" s="99">
        <f>AK211+AL212</f>
        <v>106</v>
      </c>
      <c r="AM211" s="20">
        <f t="shared" si="43"/>
        <v>47700000</v>
      </c>
      <c r="AN211" s="20"/>
      <c r="AR211" t="s">
        <v>25</v>
      </c>
    </row>
    <row r="212" spans="16:45">
      <c r="Q212" s="96"/>
      <c r="R212" s="115"/>
      <c r="T212" s="168" t="s">
        <v>4634</v>
      </c>
      <c r="U212" s="168">
        <v>189227</v>
      </c>
      <c r="V212" s="113">
        <v>245.52809999999999</v>
      </c>
      <c r="W212" s="113">
        <f t="shared" si="46"/>
        <v>46460545.778700002</v>
      </c>
      <c r="X212" s="99" t="s">
        <v>751</v>
      </c>
      <c r="AH212" s="149">
        <v>31</v>
      </c>
      <c r="AI212" s="149" t="s">
        <v>4737</v>
      </c>
      <c r="AJ212" s="189">
        <v>300000</v>
      </c>
      <c r="AK212" s="149">
        <v>0</v>
      </c>
      <c r="AL212" s="149">
        <f t="shared" ref="AL212:AL227" si="47">AK212+AL213</f>
        <v>84</v>
      </c>
      <c r="AM212" s="149">
        <f t="shared" ref="AM212:AM215" si="48">AJ212*AL212</f>
        <v>25200000</v>
      </c>
      <c r="AN212" s="149"/>
      <c r="AQ212" t="s">
        <v>25</v>
      </c>
    </row>
    <row r="213" spans="16:45" ht="30">
      <c r="T213" s="168" t="s">
        <v>4637</v>
      </c>
      <c r="U213" s="168">
        <v>79720</v>
      </c>
      <c r="V213" s="113">
        <v>246.6568</v>
      </c>
      <c r="W213" s="113">
        <f t="shared" si="46"/>
        <v>19663480.096000001</v>
      </c>
      <c r="X213" s="99" t="s">
        <v>452</v>
      </c>
      <c r="AH213" s="121">
        <v>32</v>
      </c>
      <c r="AI213" s="121" t="s">
        <v>4737</v>
      </c>
      <c r="AJ213" s="79">
        <v>288936</v>
      </c>
      <c r="AK213" s="121">
        <v>3</v>
      </c>
      <c r="AL213" s="121">
        <f t="shared" si="47"/>
        <v>84</v>
      </c>
      <c r="AM213" s="121">
        <f t="shared" si="48"/>
        <v>24270624</v>
      </c>
      <c r="AN213" s="207" t="s">
        <v>4750</v>
      </c>
    </row>
    <row r="214" spans="16:45">
      <c r="P214" s="99" t="s">
        <v>8</v>
      </c>
      <c r="Q214" s="99" t="s">
        <v>4451</v>
      </c>
      <c r="R214" s="99"/>
      <c r="T214" s="168" t="s">
        <v>4637</v>
      </c>
      <c r="U214" s="168">
        <v>79720</v>
      </c>
      <c r="V214" s="113">
        <v>246.6568</v>
      </c>
      <c r="W214" s="113">
        <f t="shared" si="46"/>
        <v>19663480.096000001</v>
      </c>
      <c r="X214" s="99" t="s">
        <v>751</v>
      </c>
      <c r="AH214" s="121">
        <v>33</v>
      </c>
      <c r="AI214" s="121" t="s">
        <v>4748</v>
      </c>
      <c r="AJ214" s="79">
        <v>17962491</v>
      </c>
      <c r="AK214" s="121">
        <v>1</v>
      </c>
      <c r="AL214" s="121">
        <f t="shared" si="47"/>
        <v>81</v>
      </c>
      <c r="AM214" s="121">
        <f t="shared" si="48"/>
        <v>1454961771</v>
      </c>
      <c r="AN214" s="121" t="s">
        <v>4755</v>
      </c>
    </row>
    <row r="215" spans="16:45">
      <c r="P215" s="99"/>
      <c r="Q215" s="36" t="s">
        <v>180</v>
      </c>
      <c r="R215" s="99" t="s">
        <v>267</v>
      </c>
      <c r="T215" s="168" t="s">
        <v>4664</v>
      </c>
      <c r="U215" s="168">
        <v>17769</v>
      </c>
      <c r="V215" s="113">
        <v>246.17877999999999</v>
      </c>
      <c r="W215" s="113">
        <f t="shared" si="46"/>
        <v>4374350.7418200001</v>
      </c>
      <c r="X215" s="99" t="s">
        <v>751</v>
      </c>
      <c r="AH215" s="121">
        <v>34</v>
      </c>
      <c r="AI215" s="121" t="s">
        <v>3684</v>
      </c>
      <c r="AJ215" s="79">
        <v>18363511</v>
      </c>
      <c r="AK215" s="121">
        <v>1</v>
      </c>
      <c r="AL215" s="121">
        <f t="shared" si="47"/>
        <v>80</v>
      </c>
      <c r="AM215" s="121">
        <f t="shared" si="48"/>
        <v>1469080880</v>
      </c>
      <c r="AN215" s="121" t="s">
        <v>4755</v>
      </c>
    </row>
    <row r="216" spans="16:45">
      <c r="P216" s="99"/>
      <c r="Q216" s="99" t="s">
        <v>4444</v>
      </c>
      <c r="R216" s="95">
        <v>3000000</v>
      </c>
      <c r="T216" s="168" t="s">
        <v>4664</v>
      </c>
      <c r="U216" s="168">
        <v>17769</v>
      </c>
      <c r="V216" s="113">
        <v>246.17877999999999</v>
      </c>
      <c r="W216" s="113">
        <f t="shared" si="46"/>
        <v>4374350.7418200001</v>
      </c>
      <c r="X216" s="99" t="s">
        <v>452</v>
      </c>
      <c r="AH216" s="121">
        <v>35</v>
      </c>
      <c r="AI216" s="121" t="s">
        <v>4761</v>
      </c>
      <c r="AJ216" s="79">
        <v>23622417</v>
      </c>
      <c r="AK216" s="121">
        <v>5</v>
      </c>
      <c r="AL216" s="121">
        <f t="shared" si="47"/>
        <v>79</v>
      </c>
      <c r="AM216" s="121">
        <f t="shared" ref="AM216:AM219" si="49">AJ216*AL216</f>
        <v>1866170943</v>
      </c>
      <c r="AN216" s="121" t="s">
        <v>4770</v>
      </c>
      <c r="AS216" t="s">
        <v>25</v>
      </c>
    </row>
    <row r="217" spans="16:45">
      <c r="P217" s="99"/>
      <c r="Q217" s="99" t="s">
        <v>4498</v>
      </c>
      <c r="R217" s="95">
        <v>2000000</v>
      </c>
      <c r="T217" s="168" t="s">
        <v>4670</v>
      </c>
      <c r="U217" s="168">
        <v>12438</v>
      </c>
      <c r="V217" s="113">
        <v>241.20465999999999</v>
      </c>
      <c r="W217" s="113">
        <f t="shared" si="46"/>
        <v>3000103.5610799999</v>
      </c>
      <c r="X217" s="99" t="s">
        <v>4451</v>
      </c>
      <c r="AH217" s="121">
        <v>36</v>
      </c>
      <c r="AI217" s="121" t="s">
        <v>4787</v>
      </c>
      <c r="AJ217" s="79">
        <v>82496108</v>
      </c>
      <c r="AK217" s="121">
        <v>1</v>
      </c>
      <c r="AL217" s="121">
        <f t="shared" si="47"/>
        <v>74</v>
      </c>
      <c r="AM217" s="121">
        <f t="shared" si="49"/>
        <v>6104711992</v>
      </c>
      <c r="AN217" s="121" t="s">
        <v>4790</v>
      </c>
    </row>
    <row r="218" spans="16:45">
      <c r="P218" s="99"/>
      <c r="Q218" s="99" t="s">
        <v>4506</v>
      </c>
      <c r="R218" s="95">
        <v>1000000</v>
      </c>
      <c r="T218" s="168" t="s">
        <v>4680</v>
      </c>
      <c r="U218" s="168">
        <v>27363</v>
      </c>
      <c r="V218" s="113">
        <v>239.3886</v>
      </c>
      <c r="W218" s="113">
        <f t="shared" si="46"/>
        <v>6550390.2617999995</v>
      </c>
      <c r="X218" s="99" t="s">
        <v>751</v>
      </c>
      <c r="AH218" s="121">
        <v>37</v>
      </c>
      <c r="AI218" s="121" t="s">
        <v>4789</v>
      </c>
      <c r="AJ218" s="79">
        <v>74657561</v>
      </c>
      <c r="AK218" s="121">
        <v>16</v>
      </c>
      <c r="AL218" s="121">
        <f t="shared" si="47"/>
        <v>73</v>
      </c>
      <c r="AM218" s="121">
        <f t="shared" si="49"/>
        <v>5450001953</v>
      </c>
      <c r="AN218" s="121" t="s">
        <v>4798</v>
      </c>
    </row>
    <row r="219" spans="16:45">
      <c r="P219" s="99"/>
      <c r="Q219" s="99" t="s">
        <v>4512</v>
      </c>
      <c r="R219" s="95">
        <v>2000000</v>
      </c>
      <c r="T219" s="168" t="s">
        <v>4680</v>
      </c>
      <c r="U219" s="168">
        <v>27363</v>
      </c>
      <c r="V219" s="113">
        <v>239.3886</v>
      </c>
      <c r="W219" s="113">
        <f t="shared" si="46"/>
        <v>6550390.2617999995</v>
      </c>
      <c r="X219" s="99" t="s">
        <v>452</v>
      </c>
      <c r="AH219" s="99">
        <v>38</v>
      </c>
      <c r="AI219" s="99" t="s">
        <v>4886</v>
      </c>
      <c r="AJ219" s="117">
        <v>665000</v>
      </c>
      <c r="AK219" s="99">
        <v>0</v>
      </c>
      <c r="AL219" s="99">
        <f t="shared" si="47"/>
        <v>57</v>
      </c>
      <c r="AM219" s="20">
        <f t="shared" si="49"/>
        <v>37905000</v>
      </c>
      <c r="AN219" s="99"/>
    </row>
    <row r="220" spans="16:45">
      <c r="P220" s="99"/>
      <c r="Q220" s="99" t="s">
        <v>994</v>
      </c>
      <c r="R220" s="95">
        <v>3000000</v>
      </c>
      <c r="T220" s="212" t="s">
        <v>4684</v>
      </c>
      <c r="U220" s="212">
        <v>27437</v>
      </c>
      <c r="V220" s="113">
        <v>242.4015</v>
      </c>
      <c r="W220" s="113">
        <f t="shared" si="46"/>
        <v>6650769.9555000002</v>
      </c>
      <c r="X220" s="99" t="s">
        <v>751</v>
      </c>
      <c r="Y220" t="s">
        <v>25</v>
      </c>
      <c r="AH220" s="149">
        <v>39</v>
      </c>
      <c r="AI220" s="149" t="s">
        <v>4886</v>
      </c>
      <c r="AJ220" s="189">
        <v>665000</v>
      </c>
      <c r="AK220" s="149">
        <v>4</v>
      </c>
      <c r="AL220" s="196">
        <f t="shared" si="47"/>
        <v>57</v>
      </c>
      <c r="AM220" s="196">
        <f t="shared" ref="AM220:AM221" si="50">AJ220*AL220</f>
        <v>37905000</v>
      </c>
      <c r="AN220" s="196"/>
    </row>
    <row r="221" spans="16:45">
      <c r="P221" s="99"/>
      <c r="Q221" s="99" t="s">
        <v>4670</v>
      </c>
      <c r="R221" s="95">
        <v>3000000</v>
      </c>
      <c r="T221" s="212" t="s">
        <v>4684</v>
      </c>
      <c r="U221" s="212">
        <v>29104</v>
      </c>
      <c r="V221" s="113">
        <v>242.4015</v>
      </c>
      <c r="W221" s="113">
        <f t="shared" si="46"/>
        <v>7054853.2560000001</v>
      </c>
      <c r="X221" s="99" t="s">
        <v>452</v>
      </c>
      <c r="AH221" s="20">
        <v>40</v>
      </c>
      <c r="AI221" s="20" t="s">
        <v>4901</v>
      </c>
      <c r="AJ221" s="117">
        <v>2000000</v>
      </c>
      <c r="AK221" s="20">
        <v>1</v>
      </c>
      <c r="AL221" s="99">
        <f t="shared" si="47"/>
        <v>53</v>
      </c>
      <c r="AM221" s="20">
        <f t="shared" si="50"/>
        <v>106000000</v>
      </c>
      <c r="AN221" s="99"/>
    </row>
    <row r="222" spans="16:45">
      <c r="P222" s="99" t="s">
        <v>4916</v>
      </c>
      <c r="Q222" s="99" t="s">
        <v>4909</v>
      </c>
      <c r="R222" s="95">
        <v>-800000</v>
      </c>
      <c r="T222" s="215" t="s">
        <v>4718</v>
      </c>
      <c r="U222" s="215">
        <v>8991</v>
      </c>
      <c r="V222" s="113">
        <v>238.64867000000001</v>
      </c>
      <c r="W222" s="113">
        <f t="shared" si="46"/>
        <v>2145690.19197</v>
      </c>
      <c r="X222" s="99" t="s">
        <v>751</v>
      </c>
      <c r="Y222" s="96"/>
      <c r="AH222" s="20">
        <v>41</v>
      </c>
      <c r="AI222" s="20" t="s">
        <v>4909</v>
      </c>
      <c r="AJ222" s="117">
        <v>-2060725</v>
      </c>
      <c r="AK222" s="20">
        <v>0</v>
      </c>
      <c r="AL222" s="99">
        <f t="shared" si="47"/>
        <v>52</v>
      </c>
      <c r="AM222" s="20">
        <f t="shared" ref="AM222:AM227" si="51">AJ222*AL222</f>
        <v>-107157700</v>
      </c>
      <c r="AN222" s="99" t="s">
        <v>4910</v>
      </c>
    </row>
    <row r="223" spans="16:45">
      <c r="P223" s="99" t="s">
        <v>4917</v>
      </c>
      <c r="Q223" s="99" t="s">
        <v>4909</v>
      </c>
      <c r="R223" s="95">
        <v>-900000</v>
      </c>
      <c r="T223" s="215" t="s">
        <v>4718</v>
      </c>
      <c r="U223" s="215">
        <v>8991</v>
      </c>
      <c r="V223" s="113">
        <v>238.64867000000001</v>
      </c>
      <c r="W223" s="113">
        <f t="shared" si="46"/>
        <v>2145690.19197</v>
      </c>
      <c r="X223" s="99" t="s">
        <v>452</v>
      </c>
      <c r="Y223" t="s">
        <v>25</v>
      </c>
      <c r="AH223" s="149">
        <v>42</v>
      </c>
      <c r="AI223" s="149" t="s">
        <v>4909</v>
      </c>
      <c r="AJ223" s="189">
        <v>-433375</v>
      </c>
      <c r="AK223" s="149">
        <v>0</v>
      </c>
      <c r="AL223" s="149">
        <f t="shared" si="47"/>
        <v>52</v>
      </c>
      <c r="AM223" s="149">
        <f t="shared" si="51"/>
        <v>-22535500</v>
      </c>
      <c r="AN223" s="149" t="s">
        <v>4911</v>
      </c>
    </row>
    <row r="224" spans="16:45">
      <c r="P224" s="99" t="s">
        <v>4917</v>
      </c>
      <c r="Q224" s="99" t="s">
        <v>981</v>
      </c>
      <c r="R224" s="95">
        <v>-1100000</v>
      </c>
      <c r="T224" s="215" t="s">
        <v>4733</v>
      </c>
      <c r="U224" s="215">
        <v>18170</v>
      </c>
      <c r="V224" s="113">
        <v>240.48475999999999</v>
      </c>
      <c r="W224" s="113">
        <f t="shared" si="46"/>
        <v>4369608.0892000003</v>
      </c>
      <c r="X224" s="99" t="s">
        <v>751</v>
      </c>
      <c r="Z224" t="s">
        <v>25</v>
      </c>
      <c r="AH224" s="20">
        <v>43</v>
      </c>
      <c r="AI224" s="20" t="s">
        <v>4909</v>
      </c>
      <c r="AJ224" s="117">
        <v>28000000</v>
      </c>
      <c r="AK224" s="20">
        <v>1</v>
      </c>
      <c r="AL224" s="99">
        <f t="shared" si="47"/>
        <v>52</v>
      </c>
      <c r="AM224" s="20">
        <f t="shared" si="51"/>
        <v>1456000000</v>
      </c>
      <c r="AN224" s="99" t="s">
        <v>3891</v>
      </c>
    </row>
    <row r="225" spans="16:44">
      <c r="P225" s="196" t="s">
        <v>1087</v>
      </c>
      <c r="Q225" s="196" t="s">
        <v>4950</v>
      </c>
      <c r="R225" s="245">
        <v>30000000</v>
      </c>
      <c r="S225" t="s">
        <v>25</v>
      </c>
      <c r="T225" s="215" t="s">
        <v>4733</v>
      </c>
      <c r="U225" s="215">
        <v>18170</v>
      </c>
      <c r="V225" s="113">
        <v>240.48475999999999</v>
      </c>
      <c r="W225" s="113">
        <f t="shared" si="46"/>
        <v>4369608.0892000003</v>
      </c>
      <c r="X225" s="99" t="s">
        <v>452</v>
      </c>
      <c r="AH225" s="20">
        <v>44</v>
      </c>
      <c r="AI225" s="20" t="s">
        <v>4920</v>
      </c>
      <c r="AJ225" s="117">
        <v>160000</v>
      </c>
      <c r="AK225" s="20">
        <v>0</v>
      </c>
      <c r="AL225" s="99">
        <f t="shared" si="47"/>
        <v>51</v>
      </c>
      <c r="AM225" s="20">
        <f t="shared" si="51"/>
        <v>8160000</v>
      </c>
      <c r="AN225" s="99"/>
    </row>
    <row r="226" spans="16:44">
      <c r="P226" s="20" t="s">
        <v>5061</v>
      </c>
      <c r="Q226" s="20" t="s">
        <v>5057</v>
      </c>
      <c r="R226" s="250">
        <v>2000000</v>
      </c>
      <c r="T226" s="215" t="s">
        <v>4737</v>
      </c>
      <c r="U226" s="215">
        <v>36797</v>
      </c>
      <c r="V226" s="113">
        <v>239.0822</v>
      </c>
      <c r="W226" s="113">
        <f t="shared" si="46"/>
        <v>8797507.7134000007</v>
      </c>
      <c r="X226" s="99" t="s">
        <v>751</v>
      </c>
      <c r="AH226" s="149">
        <v>45</v>
      </c>
      <c r="AI226" s="149" t="s">
        <v>4920</v>
      </c>
      <c r="AJ226" s="189">
        <v>70000</v>
      </c>
      <c r="AK226" s="149">
        <v>9</v>
      </c>
      <c r="AL226" s="149">
        <f t="shared" si="47"/>
        <v>51</v>
      </c>
      <c r="AM226" s="149">
        <f t="shared" si="51"/>
        <v>3570000</v>
      </c>
      <c r="AN226" s="149"/>
    </row>
    <row r="227" spans="16:44">
      <c r="P227" s="99"/>
      <c r="Q227" s="99"/>
      <c r="R227" s="95"/>
      <c r="T227" s="215" t="s">
        <v>4737</v>
      </c>
      <c r="U227" s="215">
        <v>36797</v>
      </c>
      <c r="V227" s="113">
        <v>239.0822</v>
      </c>
      <c r="W227" s="113">
        <f t="shared" si="46"/>
        <v>8797507.7134000007</v>
      </c>
      <c r="X227" s="99" t="s">
        <v>452</v>
      </c>
      <c r="AH227" s="20">
        <v>46</v>
      </c>
      <c r="AI227" s="20" t="s">
        <v>4934</v>
      </c>
      <c r="AJ227" s="117">
        <v>850000</v>
      </c>
      <c r="AK227" s="20">
        <v>0</v>
      </c>
      <c r="AL227" s="99">
        <f t="shared" si="47"/>
        <v>42</v>
      </c>
      <c r="AM227" s="20">
        <f t="shared" si="51"/>
        <v>35700000</v>
      </c>
      <c r="AN227" s="99"/>
    </row>
    <row r="228" spans="16:44">
      <c r="P228" s="99"/>
      <c r="Q228" s="99"/>
      <c r="R228" s="95">
        <f>SUM(R216:R226)</f>
        <v>43200000</v>
      </c>
      <c r="T228" s="215" t="s">
        <v>4748</v>
      </c>
      <c r="U228" s="215">
        <v>28066</v>
      </c>
      <c r="V228" s="113">
        <v>237.56970000000001</v>
      </c>
      <c r="W228" s="113">
        <f t="shared" si="46"/>
        <v>6667631.2002000008</v>
      </c>
      <c r="X228" s="99" t="s">
        <v>751</v>
      </c>
      <c r="AH228" s="196">
        <v>47</v>
      </c>
      <c r="AI228" s="196" t="s">
        <v>4934</v>
      </c>
      <c r="AJ228" s="197">
        <v>20000</v>
      </c>
      <c r="AK228" s="196">
        <v>4</v>
      </c>
      <c r="AL228" s="196">
        <f t="shared" ref="AL228:AL240" si="52">AK228+AL229</f>
        <v>42</v>
      </c>
      <c r="AM228" s="196">
        <f t="shared" ref="AM228:AM240" si="53">AJ228*AL228</f>
        <v>840000</v>
      </c>
      <c r="AN228" s="196"/>
      <c r="AQ228" t="s">
        <v>25</v>
      </c>
    </row>
    <row r="229" spans="16:44">
      <c r="P229" s="99"/>
      <c r="Q229" s="99"/>
      <c r="R229" s="99" t="s">
        <v>6</v>
      </c>
      <c r="T229" s="215" t="s">
        <v>4748</v>
      </c>
      <c r="U229" s="215">
        <v>28066</v>
      </c>
      <c r="V229" s="113">
        <v>237.56970000000001</v>
      </c>
      <c r="W229" s="113">
        <f t="shared" si="46"/>
        <v>6667631.2002000008</v>
      </c>
      <c r="X229" s="99" t="s">
        <v>452</v>
      </c>
      <c r="AH229" s="196">
        <v>48</v>
      </c>
      <c r="AI229" s="196" t="s">
        <v>4950</v>
      </c>
      <c r="AJ229" s="197">
        <v>30000000</v>
      </c>
      <c r="AK229" s="196">
        <v>27</v>
      </c>
      <c r="AL229" s="196">
        <f t="shared" si="52"/>
        <v>38</v>
      </c>
      <c r="AM229" s="196">
        <f t="shared" si="53"/>
        <v>1140000000</v>
      </c>
      <c r="AN229" s="196" t="s">
        <v>4952</v>
      </c>
    </row>
    <row r="230" spans="16:44">
      <c r="T230" s="215" t="s">
        <v>3684</v>
      </c>
      <c r="U230" s="215">
        <v>37457</v>
      </c>
      <c r="V230" s="113">
        <v>239.77</v>
      </c>
      <c r="W230" s="113">
        <f t="shared" si="46"/>
        <v>8981064.8900000006</v>
      </c>
      <c r="X230" s="99" t="s">
        <v>751</v>
      </c>
      <c r="AH230" s="20">
        <v>49</v>
      </c>
      <c r="AI230" s="20" t="s">
        <v>5051</v>
      </c>
      <c r="AJ230" s="117">
        <v>1100000</v>
      </c>
      <c r="AK230" s="20">
        <v>1</v>
      </c>
      <c r="AL230" s="20">
        <f t="shared" si="52"/>
        <v>11</v>
      </c>
      <c r="AM230" s="20">
        <f t="shared" si="53"/>
        <v>12100000</v>
      </c>
      <c r="AN230" s="20"/>
    </row>
    <row r="231" spans="16:44">
      <c r="Q231" s="96"/>
      <c r="R231" s="96" t="s">
        <v>25</v>
      </c>
      <c r="T231" s="215" t="s">
        <v>3684</v>
      </c>
      <c r="U231" s="215">
        <v>37457</v>
      </c>
      <c r="V231" s="113">
        <v>239.77</v>
      </c>
      <c r="W231" s="113">
        <f t="shared" si="46"/>
        <v>8981064.8900000006</v>
      </c>
      <c r="X231" s="99" t="s">
        <v>452</v>
      </c>
      <c r="AH231" s="20">
        <v>50</v>
      </c>
      <c r="AI231" s="20" t="s">
        <v>5053</v>
      </c>
      <c r="AJ231" s="117">
        <v>450000</v>
      </c>
      <c r="AK231" s="20">
        <v>0</v>
      </c>
      <c r="AL231" s="20">
        <f t="shared" si="52"/>
        <v>10</v>
      </c>
      <c r="AM231" s="20">
        <f t="shared" si="53"/>
        <v>4500000</v>
      </c>
      <c r="AN231" s="20"/>
    </row>
    <row r="232" spans="16:44">
      <c r="Q232" s="96"/>
      <c r="R232" s="96"/>
      <c r="T232" s="215" t="s">
        <v>4761</v>
      </c>
      <c r="U232" s="215">
        <v>38412</v>
      </c>
      <c r="V232" s="113">
        <v>239.03</v>
      </c>
      <c r="W232" s="113">
        <f t="shared" si="46"/>
        <v>9181620.3599999994</v>
      </c>
      <c r="X232" s="99" t="s">
        <v>751</v>
      </c>
      <c r="AH232" s="149">
        <v>51</v>
      </c>
      <c r="AI232" s="149" t="s">
        <v>5053</v>
      </c>
      <c r="AJ232" s="189">
        <v>550000</v>
      </c>
      <c r="AK232" s="149">
        <v>1</v>
      </c>
      <c r="AL232" s="149">
        <f t="shared" si="52"/>
        <v>10</v>
      </c>
      <c r="AM232" s="149">
        <f t="shared" si="53"/>
        <v>5500000</v>
      </c>
      <c r="AN232" s="149"/>
    </row>
    <row r="233" spans="16:44">
      <c r="T233" s="215" t="s">
        <v>4761</v>
      </c>
      <c r="U233" s="215">
        <v>38412</v>
      </c>
      <c r="V233" s="113">
        <v>239.03</v>
      </c>
      <c r="W233" s="113">
        <f t="shared" si="46"/>
        <v>9181620.3599999994</v>
      </c>
      <c r="X233" s="99" t="s">
        <v>452</v>
      </c>
      <c r="AH233" s="149">
        <v>52</v>
      </c>
      <c r="AI233" s="149" t="s">
        <v>5055</v>
      </c>
      <c r="AJ233" s="189">
        <v>1000000</v>
      </c>
      <c r="AK233" s="149">
        <v>8</v>
      </c>
      <c r="AL233" s="149">
        <f t="shared" si="52"/>
        <v>9</v>
      </c>
      <c r="AM233" s="149">
        <f t="shared" si="53"/>
        <v>9000000</v>
      </c>
      <c r="AN233" s="149"/>
    </row>
    <row r="234" spans="16:44">
      <c r="Q234" s="99" t="s">
        <v>751</v>
      </c>
      <c r="R234" s="99"/>
      <c r="T234" s="215" t="s">
        <v>4771</v>
      </c>
      <c r="U234" s="215">
        <v>49555</v>
      </c>
      <c r="V234" s="113">
        <v>238.345</v>
      </c>
      <c r="W234" s="113">
        <f t="shared" si="46"/>
        <v>11811186.475</v>
      </c>
      <c r="X234" s="99" t="s">
        <v>751</v>
      </c>
      <c r="AH234" s="20">
        <v>53</v>
      </c>
      <c r="AI234" s="20" t="s">
        <v>5068</v>
      </c>
      <c r="AJ234" s="117">
        <v>-2668880</v>
      </c>
      <c r="AK234" s="20">
        <v>0</v>
      </c>
      <c r="AL234" s="20">
        <f t="shared" si="52"/>
        <v>1</v>
      </c>
      <c r="AM234" s="20">
        <f t="shared" si="53"/>
        <v>-2668880</v>
      </c>
      <c r="AN234" s="20" t="s">
        <v>5071</v>
      </c>
    </row>
    <row r="235" spans="16:44">
      <c r="Q235" s="99" t="s">
        <v>4444</v>
      </c>
      <c r="R235" s="95">
        <v>172908000</v>
      </c>
      <c r="T235" s="215" t="s">
        <v>4771</v>
      </c>
      <c r="U235" s="215">
        <v>49555</v>
      </c>
      <c r="V235" s="113">
        <v>238.345</v>
      </c>
      <c r="W235" s="113">
        <f t="shared" si="46"/>
        <v>11811186.475</v>
      </c>
      <c r="X235" s="99" t="s">
        <v>452</v>
      </c>
      <c r="AH235" s="149">
        <v>54</v>
      </c>
      <c r="AI235" s="149" t="s">
        <v>5068</v>
      </c>
      <c r="AJ235" s="189">
        <v>-1528620</v>
      </c>
      <c r="AK235" s="149">
        <v>0</v>
      </c>
      <c r="AL235" s="149">
        <f t="shared" si="52"/>
        <v>1</v>
      </c>
      <c r="AM235" s="149">
        <f t="shared" si="53"/>
        <v>-1528620</v>
      </c>
      <c r="AN235" s="149" t="s">
        <v>5071</v>
      </c>
    </row>
    <row r="236" spans="16:44">
      <c r="Q236" s="99" t="s">
        <v>4485</v>
      </c>
      <c r="R236" s="95">
        <v>1400000</v>
      </c>
      <c r="T236" s="215" t="s">
        <v>4789</v>
      </c>
      <c r="U236" s="215">
        <v>160187</v>
      </c>
      <c r="V236" s="113">
        <v>257.49799999999999</v>
      </c>
      <c r="W236" s="113">
        <f t="shared" si="46"/>
        <v>41247832.126000002</v>
      </c>
      <c r="X236" s="99" t="s">
        <v>751</v>
      </c>
      <c r="AH236" s="20">
        <v>55</v>
      </c>
      <c r="AI236" s="20" t="s">
        <v>5068</v>
      </c>
      <c r="AJ236" s="117">
        <v>50000000</v>
      </c>
      <c r="AK236" s="20">
        <v>1</v>
      </c>
      <c r="AL236" s="20">
        <f t="shared" si="52"/>
        <v>1</v>
      </c>
      <c r="AM236" s="20">
        <f t="shared" si="53"/>
        <v>50000000</v>
      </c>
      <c r="AN236" s="20"/>
      <c r="AR236" t="s">
        <v>25</v>
      </c>
    </row>
    <row r="237" spans="16:44">
      <c r="Q237" s="99" t="s">
        <v>4232</v>
      </c>
      <c r="R237" s="95">
        <v>247393</v>
      </c>
      <c r="T237" s="215" t="s">
        <v>4789</v>
      </c>
      <c r="U237" s="215">
        <v>160187</v>
      </c>
      <c r="V237" s="113">
        <v>257.49799999999999</v>
      </c>
      <c r="W237" s="113">
        <f t="shared" si="46"/>
        <v>41247832.126000002</v>
      </c>
      <c r="X237" s="99" t="s">
        <v>452</v>
      </c>
      <c r="AH237" s="20"/>
      <c r="AI237" s="20"/>
      <c r="AJ237" s="117"/>
      <c r="AK237" s="20"/>
      <c r="AL237" s="20">
        <f t="shared" si="52"/>
        <v>0</v>
      </c>
      <c r="AM237" s="20">
        <f t="shared" si="53"/>
        <v>0</v>
      </c>
      <c r="AN237" s="20"/>
      <c r="AR237" t="s">
        <v>25</v>
      </c>
    </row>
    <row r="238" spans="16:44">
      <c r="Q238" s="99" t="s">
        <v>4231</v>
      </c>
      <c r="R238" s="95">
        <v>6780000</v>
      </c>
      <c r="S238" t="s">
        <v>25</v>
      </c>
      <c r="T238" s="215" t="s">
        <v>4799</v>
      </c>
      <c r="U238" s="215">
        <v>144401</v>
      </c>
      <c r="V238" s="113">
        <v>258.5061</v>
      </c>
      <c r="W238" s="113">
        <f t="shared" si="46"/>
        <v>37328539.346100003</v>
      </c>
      <c r="X238" s="99" t="s">
        <v>751</v>
      </c>
      <c r="AH238" s="20"/>
      <c r="AI238" s="20"/>
      <c r="AJ238" s="117"/>
      <c r="AK238" s="20"/>
      <c r="AL238" s="20">
        <f t="shared" si="52"/>
        <v>0</v>
      </c>
      <c r="AM238" s="20">
        <f t="shared" si="53"/>
        <v>0</v>
      </c>
      <c r="AN238" s="20"/>
    </row>
    <row r="239" spans="16:44">
      <c r="Q239" s="99" t="s">
        <v>4595</v>
      </c>
      <c r="R239" s="95">
        <v>-4000000</v>
      </c>
      <c r="T239" s="215" t="s">
        <v>4799</v>
      </c>
      <c r="U239" s="215">
        <v>144401</v>
      </c>
      <c r="V239" s="113">
        <v>258.5061</v>
      </c>
      <c r="W239" s="113">
        <f t="shared" si="46"/>
        <v>37328539.346100003</v>
      </c>
      <c r="X239" s="99" t="s">
        <v>452</v>
      </c>
      <c r="AH239" s="99"/>
      <c r="AI239" s="99"/>
      <c r="AJ239" s="117"/>
      <c r="AK239" s="99"/>
      <c r="AL239" s="99">
        <f t="shared" si="52"/>
        <v>0</v>
      </c>
      <c r="AM239" s="20">
        <f t="shared" si="53"/>
        <v>0</v>
      </c>
      <c r="AN239" s="99"/>
    </row>
    <row r="240" spans="16:44">
      <c r="Q240" s="99" t="s">
        <v>4628</v>
      </c>
      <c r="R240" s="95">
        <v>16727037</v>
      </c>
      <c r="T240" s="168" t="s">
        <v>4808</v>
      </c>
      <c r="U240" s="168">
        <v>196500</v>
      </c>
      <c r="V240" s="113">
        <v>254.452</v>
      </c>
      <c r="W240" s="113">
        <f t="shared" si="46"/>
        <v>49999818</v>
      </c>
      <c r="X240" s="99" t="s">
        <v>4816</v>
      </c>
      <c r="AH240" s="99"/>
      <c r="AI240" s="99"/>
      <c r="AJ240" s="117"/>
      <c r="AK240" s="99"/>
      <c r="AL240" s="99">
        <f t="shared" si="52"/>
        <v>0</v>
      </c>
      <c r="AM240" s="99">
        <f t="shared" si="53"/>
        <v>0</v>
      </c>
      <c r="AN240" s="99"/>
    </row>
    <row r="241" spans="17:40">
      <c r="Q241" s="99" t="s">
        <v>4634</v>
      </c>
      <c r="R241" s="95">
        <v>46460683</v>
      </c>
      <c r="T241" s="215" t="s">
        <v>4808</v>
      </c>
      <c r="U241" s="215">
        <v>2561</v>
      </c>
      <c r="V241" s="113">
        <v>254.536</v>
      </c>
      <c r="W241" s="113">
        <f t="shared" si="46"/>
        <v>651866.696</v>
      </c>
      <c r="X241" s="99" t="s">
        <v>4817</v>
      </c>
      <c r="AH241" s="99"/>
      <c r="AI241" s="99"/>
      <c r="AJ241" s="95">
        <f>SUM(AJ182:AJ240)</f>
        <v>355419598</v>
      </c>
      <c r="AK241" s="99"/>
      <c r="AL241" s="99"/>
      <c r="AM241" s="99">
        <f>SUM(AM182:AM240)</f>
        <v>25449110797</v>
      </c>
      <c r="AN241" s="95">
        <f>AM241*AN168/31</f>
        <v>13682591.279148355</v>
      </c>
    </row>
    <row r="242" spans="17:40">
      <c r="Q242" s="99" t="s">
        <v>4637</v>
      </c>
      <c r="R242" s="95">
        <v>19663646</v>
      </c>
      <c r="S242" t="s">
        <v>25</v>
      </c>
      <c r="T242" s="215" t="s">
        <v>4868</v>
      </c>
      <c r="U242" s="215">
        <v>-11795</v>
      </c>
      <c r="V242" s="113">
        <v>254.334</v>
      </c>
      <c r="W242" s="113">
        <f t="shared" si="46"/>
        <v>-2999869.5300000003</v>
      </c>
      <c r="X242" s="99" t="s">
        <v>4869</v>
      </c>
      <c r="AJ242" t="s">
        <v>4059</v>
      </c>
      <c r="AM242" t="s">
        <v>284</v>
      </c>
      <c r="AN242" t="s">
        <v>943</v>
      </c>
    </row>
    <row r="243" spans="17:40">
      <c r="Q243" s="99" t="s">
        <v>4664</v>
      </c>
      <c r="R243" s="95">
        <v>4374525</v>
      </c>
      <c r="T243" s="215" t="s">
        <v>4868</v>
      </c>
      <c r="U243" s="215">
        <v>11795</v>
      </c>
      <c r="V243" s="113">
        <v>254.334</v>
      </c>
      <c r="W243" s="113">
        <f t="shared" si="46"/>
        <v>2999869.5300000003</v>
      </c>
      <c r="X243" s="99" t="s">
        <v>4870</v>
      </c>
    </row>
    <row r="244" spans="17:40">
      <c r="Q244" s="99" t="s">
        <v>4680</v>
      </c>
      <c r="R244" s="95">
        <v>6550580</v>
      </c>
      <c r="T244" s="215" t="s">
        <v>4886</v>
      </c>
      <c r="U244" s="215">
        <v>260</v>
      </c>
      <c r="V244" s="113">
        <v>263.19</v>
      </c>
      <c r="W244" s="113">
        <f t="shared" si="46"/>
        <v>68429.399999999994</v>
      </c>
      <c r="X244" s="99" t="s">
        <v>452</v>
      </c>
      <c r="Y244" t="s">
        <v>25</v>
      </c>
      <c r="AI244" t="s">
        <v>4061</v>
      </c>
      <c r="AJ244" s="114">
        <f>AJ241+AN241</f>
        <v>369102189.27914834</v>
      </c>
    </row>
    <row r="245" spans="17:40">
      <c r="Q245" s="99" t="s">
        <v>4684</v>
      </c>
      <c r="R245" s="95">
        <v>6650895</v>
      </c>
      <c r="T245" s="215" t="s">
        <v>4901</v>
      </c>
      <c r="U245" s="215">
        <v>15257</v>
      </c>
      <c r="V245" s="113">
        <v>262.19018</v>
      </c>
      <c r="W245" s="113">
        <f t="shared" si="46"/>
        <v>4000235.57626</v>
      </c>
      <c r="X245" s="99" t="s">
        <v>452</v>
      </c>
      <c r="Y245" t="s">
        <v>25</v>
      </c>
      <c r="AI245" t="s">
        <v>4064</v>
      </c>
      <c r="AJ245" s="114">
        <f>SUM(N20:N33)</f>
        <v>420048570.20000005</v>
      </c>
    </row>
    <row r="246" spans="17:40">
      <c r="Q246" s="99" t="s">
        <v>4718</v>
      </c>
      <c r="R246" s="95">
        <v>2145814</v>
      </c>
      <c r="T246" s="215" t="s">
        <v>4901</v>
      </c>
      <c r="U246" s="215">
        <v>8444</v>
      </c>
      <c r="V246" s="113">
        <v>266.43029999999999</v>
      </c>
      <c r="W246" s="113">
        <f t="shared" si="46"/>
        <v>2249737.4531999999</v>
      </c>
      <c r="X246" s="99" t="s">
        <v>452</v>
      </c>
      <c r="AI246" t="s">
        <v>4136</v>
      </c>
      <c r="AJ246" s="114">
        <f>AJ245-AJ241</f>
        <v>64628972.200000048</v>
      </c>
    </row>
    <row r="247" spans="17:40">
      <c r="Q247" s="99" t="s">
        <v>4733</v>
      </c>
      <c r="R247" s="95">
        <v>4369730</v>
      </c>
      <c r="T247" s="215" t="s">
        <v>4909</v>
      </c>
      <c r="U247" s="215">
        <v>-6209</v>
      </c>
      <c r="V247" s="113">
        <v>273.79649999999998</v>
      </c>
      <c r="W247" s="113">
        <f t="shared" si="46"/>
        <v>-1700002.4685</v>
      </c>
      <c r="X247" s="99" t="s">
        <v>4922</v>
      </c>
      <c r="AI247" t="s">
        <v>943</v>
      </c>
      <c r="AJ247" s="114">
        <f>AN241</f>
        <v>13682591.279148355</v>
      </c>
    </row>
    <row r="248" spans="17:40">
      <c r="Q248" s="99" t="s">
        <v>4737</v>
      </c>
      <c r="R248" s="95">
        <v>8739459</v>
      </c>
      <c r="T248" s="215" t="s">
        <v>4909</v>
      </c>
      <c r="U248" s="215">
        <v>-8014</v>
      </c>
      <c r="V248" s="113">
        <v>273.79649999999998</v>
      </c>
      <c r="W248" s="113">
        <f t="shared" si="46"/>
        <v>-2194205.1510000001</v>
      </c>
      <c r="X248" s="99" t="s">
        <v>751</v>
      </c>
      <c r="AI248" t="s">
        <v>4065</v>
      </c>
      <c r="AJ248" s="114">
        <f>AJ246-AJ247</f>
        <v>50946380.920851693</v>
      </c>
      <c r="AN248" t="s">
        <v>25</v>
      </c>
    </row>
    <row r="249" spans="17:40">
      <c r="Q249" s="99" t="s">
        <v>4748</v>
      </c>
      <c r="R249" s="95">
        <v>6667654</v>
      </c>
      <c r="S249" t="s">
        <v>25</v>
      </c>
      <c r="T249" s="215" t="s">
        <v>4920</v>
      </c>
      <c r="U249" s="215">
        <v>-9176</v>
      </c>
      <c r="V249" s="113">
        <v>273.79649999999998</v>
      </c>
      <c r="W249" s="113">
        <f t="shared" si="46"/>
        <v>-2512356.6839999999</v>
      </c>
      <c r="X249" s="99" t="s">
        <v>452</v>
      </c>
      <c r="AN249" t="s">
        <v>25</v>
      </c>
    </row>
    <row r="250" spans="17:40">
      <c r="Q250" s="99" t="s">
        <v>4756</v>
      </c>
      <c r="R250" s="95">
        <v>8981245</v>
      </c>
      <c r="T250" s="215" t="s">
        <v>4920</v>
      </c>
      <c r="U250" s="215">
        <v>1087</v>
      </c>
      <c r="V250" s="113">
        <v>273.79649999999998</v>
      </c>
      <c r="W250" s="113">
        <f t="shared" si="46"/>
        <v>297616.79550000001</v>
      </c>
      <c r="X250" s="99" t="s">
        <v>452</v>
      </c>
    </row>
    <row r="251" spans="17:40">
      <c r="Q251" s="99" t="s">
        <v>4761</v>
      </c>
      <c r="R251" s="95">
        <v>9181756</v>
      </c>
      <c r="T251" s="215" t="s">
        <v>981</v>
      </c>
      <c r="U251" s="215">
        <v>-4017</v>
      </c>
      <c r="V251" s="113">
        <v>273.79649999999998</v>
      </c>
      <c r="W251" s="113">
        <f t="shared" si="46"/>
        <v>-1099840.5404999999</v>
      </c>
      <c r="X251" s="99" t="s">
        <v>4451</v>
      </c>
    </row>
    <row r="252" spans="17:40">
      <c r="Q252" s="99" t="s">
        <v>4771</v>
      </c>
      <c r="R252" s="95">
        <v>11811208</v>
      </c>
      <c r="T252" s="215" t="s">
        <v>981</v>
      </c>
      <c r="U252" s="215">
        <v>4017</v>
      </c>
      <c r="V252" s="113">
        <v>273.79649999999998</v>
      </c>
      <c r="W252" s="113">
        <f t="shared" si="46"/>
        <v>1099840.5404999999</v>
      </c>
      <c r="X252" s="99" t="s">
        <v>452</v>
      </c>
      <c r="AN252" t="s">
        <v>25</v>
      </c>
    </row>
    <row r="253" spans="17:40">
      <c r="Q253" s="99" t="s">
        <v>4789</v>
      </c>
      <c r="R253" s="95">
        <v>41248054</v>
      </c>
      <c r="S253" t="s">
        <v>25</v>
      </c>
      <c r="T253" s="215" t="s">
        <v>4934</v>
      </c>
      <c r="U253" s="215">
        <v>3137</v>
      </c>
      <c r="V253" s="113">
        <v>283.69110000000001</v>
      </c>
      <c r="W253" s="113">
        <f t="shared" si="46"/>
        <v>889938.98070000007</v>
      </c>
      <c r="X253" s="99" t="s">
        <v>452</v>
      </c>
    </row>
    <row r="254" spans="17:40">
      <c r="Q254" s="99" t="s">
        <v>4799</v>
      </c>
      <c r="R254" s="95">
        <v>37328780</v>
      </c>
      <c r="S254" t="s">
        <v>25</v>
      </c>
      <c r="T254" s="215" t="s">
        <v>4950</v>
      </c>
      <c r="U254" s="215">
        <v>101933</v>
      </c>
      <c r="V254" s="113">
        <v>294.30973999999998</v>
      </c>
      <c r="W254" s="113">
        <f t="shared" si="46"/>
        <v>29999874.727419998</v>
      </c>
      <c r="X254" s="99" t="s">
        <v>1087</v>
      </c>
    </row>
    <row r="255" spans="17:40">
      <c r="Q255" s="99" t="s">
        <v>4909</v>
      </c>
      <c r="R255" s="95">
        <v>-2194100</v>
      </c>
      <c r="T255" s="215" t="s">
        <v>4963</v>
      </c>
      <c r="U255" s="215">
        <v>3407</v>
      </c>
      <c r="V255" s="113">
        <v>293.43799999999999</v>
      </c>
      <c r="W255" s="113">
        <f t="shared" si="46"/>
        <v>999743.26599999995</v>
      </c>
      <c r="X255" s="99" t="s">
        <v>452</v>
      </c>
    </row>
    <row r="256" spans="17:40">
      <c r="Q256" s="99" t="s">
        <v>4965</v>
      </c>
      <c r="R256" s="95">
        <v>20193916</v>
      </c>
      <c r="T256" s="215" t="s">
        <v>4965</v>
      </c>
      <c r="U256" s="215">
        <v>68796</v>
      </c>
      <c r="V256" s="113">
        <v>293.53250000000003</v>
      </c>
      <c r="W256" s="113">
        <f t="shared" si="46"/>
        <v>20193861.870000001</v>
      </c>
      <c r="X256" s="99" t="s">
        <v>751</v>
      </c>
    </row>
    <row r="257" spans="17:25">
      <c r="Q257" s="99" t="s">
        <v>5057</v>
      </c>
      <c r="R257" s="95">
        <v>-2000000</v>
      </c>
      <c r="T257" s="215" t="s">
        <v>4965</v>
      </c>
      <c r="U257" s="215">
        <v>154791</v>
      </c>
      <c r="V257" s="113">
        <v>293.53250000000003</v>
      </c>
      <c r="W257" s="113">
        <f t="shared" si="46"/>
        <v>45436189.207500003</v>
      </c>
      <c r="X257" s="99" t="s">
        <v>452</v>
      </c>
    </row>
    <row r="258" spans="17:25">
      <c r="Q258" s="99"/>
      <c r="R258" s="95"/>
      <c r="T258" s="215" t="s">
        <v>4965</v>
      </c>
      <c r="U258" s="215">
        <v>-11923</v>
      </c>
      <c r="V258" s="113">
        <v>293.53250000000003</v>
      </c>
      <c r="W258" s="113">
        <f t="shared" si="46"/>
        <v>-3499787.9975000005</v>
      </c>
      <c r="X258" s="99" t="s">
        <v>452</v>
      </c>
    </row>
    <row r="259" spans="17:25">
      <c r="Q259" s="99"/>
      <c r="R259" s="95">
        <f>SUM(R235:R258)</f>
        <v>424236275</v>
      </c>
      <c r="T259" s="215" t="s">
        <v>4988</v>
      </c>
      <c r="U259" s="215">
        <v>8424</v>
      </c>
      <c r="V259" s="113">
        <v>299.15170000000001</v>
      </c>
      <c r="W259" s="113">
        <f t="shared" si="46"/>
        <v>2520053.9208</v>
      </c>
      <c r="X259" s="99" t="s">
        <v>452</v>
      </c>
    </row>
    <row r="260" spans="17:25">
      <c r="Q260" s="99"/>
      <c r="R260" s="99" t="s">
        <v>6</v>
      </c>
      <c r="T260" s="215" t="s">
        <v>5028</v>
      </c>
      <c r="U260" s="215">
        <v>15943</v>
      </c>
      <c r="V260" s="113">
        <v>307.34415000000001</v>
      </c>
      <c r="W260" s="113">
        <f t="shared" si="46"/>
        <v>4899987.78345</v>
      </c>
      <c r="X260" s="99" t="s">
        <v>452</v>
      </c>
    </row>
    <row r="261" spans="17:25">
      <c r="T261" s="215" t="s">
        <v>5051</v>
      </c>
      <c r="U261" s="215">
        <v>3741</v>
      </c>
      <c r="V261" s="113">
        <v>307.34415000000001</v>
      </c>
      <c r="W261" s="113">
        <f t="shared" si="46"/>
        <v>1149774.4651500001</v>
      </c>
      <c r="X261" s="99" t="s">
        <v>452</v>
      </c>
      <c r="Y261" t="s">
        <v>25</v>
      </c>
    </row>
    <row r="262" spans="17:25">
      <c r="S262" t="s">
        <v>25</v>
      </c>
      <c r="T262" s="215" t="s">
        <v>5057</v>
      </c>
      <c r="U262" s="215">
        <v>-6207</v>
      </c>
      <c r="V262" s="113">
        <v>322.214</v>
      </c>
      <c r="W262" s="113">
        <f t="shared" si="46"/>
        <v>-1999982.298</v>
      </c>
      <c r="X262" s="99" t="s">
        <v>751</v>
      </c>
    </row>
    <row r="263" spans="17:25">
      <c r="Q263" s="99" t="s">
        <v>452</v>
      </c>
      <c r="R263" s="99"/>
      <c r="T263" s="215" t="s">
        <v>5057</v>
      </c>
      <c r="U263" s="215">
        <v>6207</v>
      </c>
      <c r="V263" s="113">
        <v>322.214</v>
      </c>
      <c r="W263" s="113">
        <f t="shared" si="46"/>
        <v>1999982.298</v>
      </c>
      <c r="X263" s="99" t="s">
        <v>4451</v>
      </c>
    </row>
    <row r="264" spans="17:25">
      <c r="Q264" s="99" t="s">
        <v>4444</v>
      </c>
      <c r="R264" s="95">
        <v>63115000</v>
      </c>
      <c r="T264" s="215" t="s">
        <v>5000</v>
      </c>
      <c r="U264" s="215">
        <v>776</v>
      </c>
      <c r="V264" s="113">
        <v>322.214</v>
      </c>
      <c r="W264" s="113">
        <f t="shared" si="46"/>
        <v>250038.06400000001</v>
      </c>
      <c r="X264" s="99" t="s">
        <v>452</v>
      </c>
    </row>
    <row r="265" spans="17:25">
      <c r="Q265" s="99" t="s">
        <v>4498</v>
      </c>
      <c r="R265" s="95">
        <v>13300000</v>
      </c>
      <c r="T265" s="168"/>
      <c r="U265" s="168"/>
      <c r="V265" s="113"/>
      <c r="W265" s="113"/>
      <c r="X265" s="99"/>
    </row>
    <row r="266" spans="17:25">
      <c r="Q266" s="99" t="s">
        <v>4506</v>
      </c>
      <c r="R266" s="95">
        <v>2269000</v>
      </c>
      <c r="T266" s="168"/>
      <c r="U266" s="168">
        <f>SUM(U198:U265)</f>
        <v>3557670</v>
      </c>
      <c r="V266" s="99"/>
      <c r="W266" s="99"/>
      <c r="X266" s="99"/>
    </row>
    <row r="267" spans="17:25">
      <c r="Q267" s="99" t="s">
        <v>4624</v>
      </c>
      <c r="R267" s="95">
        <v>25071612</v>
      </c>
      <c r="T267" s="99"/>
      <c r="U267" s="99" t="s">
        <v>6</v>
      </c>
      <c r="V267" s="99"/>
      <c r="W267" s="99"/>
      <c r="X267" s="99"/>
    </row>
    <row r="268" spans="17:25">
      <c r="Q268" s="99" t="s">
        <v>4634</v>
      </c>
      <c r="R268" s="95">
        <v>42236984</v>
      </c>
      <c r="T268" s="201" t="s">
        <v>4488</v>
      </c>
    </row>
    <row r="269" spans="17:25">
      <c r="Q269" s="99" t="s">
        <v>4637</v>
      </c>
      <c r="R269" s="95">
        <v>19663646</v>
      </c>
      <c r="T269" s="200">
        <f>R208/U266</f>
        <v>324.07401422841355</v>
      </c>
    </row>
    <row r="270" spans="17:25">
      <c r="Q270" s="99" t="s">
        <v>4664</v>
      </c>
      <c r="R270" s="95">
        <v>4374525</v>
      </c>
      <c r="W270" s="114"/>
    </row>
    <row r="271" spans="17:25">
      <c r="Q271" s="99" t="s">
        <v>4680</v>
      </c>
      <c r="R271" s="95">
        <v>6550580</v>
      </c>
      <c r="U271" s="96" t="s">
        <v>267</v>
      </c>
      <c r="V271" t="s">
        <v>4489</v>
      </c>
      <c r="X271" t="s">
        <v>25</v>
      </c>
    </row>
    <row r="272" spans="17:25">
      <c r="Q272" s="99" t="s">
        <v>4684</v>
      </c>
      <c r="R272" s="95">
        <v>7054895</v>
      </c>
      <c r="T272" s="114"/>
      <c r="U272" s="113">
        <v>250000</v>
      </c>
      <c r="V272">
        <f>U272/T269</f>
        <v>771.42871388569654</v>
      </c>
      <c r="X272" t="s">
        <v>25</v>
      </c>
    </row>
    <row r="273" spans="17:24">
      <c r="Q273" s="99" t="s">
        <v>4718</v>
      </c>
      <c r="R273" s="95">
        <v>2145814</v>
      </c>
      <c r="X273" t="s">
        <v>25</v>
      </c>
    </row>
    <row r="274" spans="17:24">
      <c r="Q274" s="99" t="s">
        <v>4733</v>
      </c>
      <c r="R274" s="95">
        <v>4369730</v>
      </c>
      <c r="W274" s="225"/>
      <c r="X274" s="96" t="s">
        <v>25</v>
      </c>
    </row>
    <row r="275" spans="17:24">
      <c r="Q275" s="99" t="s">
        <v>4737</v>
      </c>
      <c r="R275" s="95">
        <v>8739459</v>
      </c>
    </row>
    <row r="276" spans="17:24">
      <c r="Q276" s="99" t="s">
        <v>4748</v>
      </c>
      <c r="R276" s="95">
        <v>6667654</v>
      </c>
    </row>
    <row r="277" spans="17:24" ht="60">
      <c r="Q277" s="99" t="s">
        <v>3684</v>
      </c>
      <c r="R277" s="95">
        <v>8981245</v>
      </c>
      <c r="T277" s="22" t="s">
        <v>4472</v>
      </c>
      <c r="V277" s="225"/>
    </row>
    <row r="278" spans="17:24" ht="45">
      <c r="Q278" s="99" t="s">
        <v>4761</v>
      </c>
      <c r="R278" s="95">
        <v>9181756</v>
      </c>
      <c r="T278" s="22" t="s">
        <v>4473</v>
      </c>
    </row>
    <row r="279" spans="17:24">
      <c r="Q279" s="99" t="s">
        <v>4771</v>
      </c>
      <c r="R279" s="95">
        <v>11811208</v>
      </c>
    </row>
    <row r="280" spans="17:24">
      <c r="Q280" s="99" t="s">
        <v>4789</v>
      </c>
      <c r="R280" s="95">
        <v>41248054</v>
      </c>
    </row>
    <row r="281" spans="17:24">
      <c r="Q281" s="99" t="s">
        <v>4799</v>
      </c>
      <c r="R281" s="95">
        <v>37328780</v>
      </c>
      <c r="T281" s="99" t="s">
        <v>4490</v>
      </c>
      <c r="U281" s="99" t="s">
        <v>4461</v>
      </c>
      <c r="V281" s="99" t="s">
        <v>953</v>
      </c>
    </row>
    <row r="282" spans="17:24">
      <c r="Q282" s="99" t="s">
        <v>4808</v>
      </c>
      <c r="R282" s="95">
        <v>50000000</v>
      </c>
      <c r="T282" s="95">
        <f>R228+R259+R298</f>
        <v>889399220</v>
      </c>
      <c r="U282" s="95">
        <f>R208</f>
        <v>1152948398.2</v>
      </c>
      <c r="V282" s="95">
        <f>U282-T282</f>
        <v>263549178.20000005</v>
      </c>
    </row>
    <row r="283" spans="17:24">
      <c r="Q283" s="99" t="s">
        <v>4886</v>
      </c>
      <c r="R283" s="95">
        <v>68656</v>
      </c>
    </row>
    <row r="284" spans="17:24">
      <c r="Q284" s="99" t="s">
        <v>4901</v>
      </c>
      <c r="R284" s="95">
        <v>4000236</v>
      </c>
    </row>
    <row r="285" spans="17:24">
      <c r="Q285" s="99" t="s">
        <v>4901</v>
      </c>
      <c r="R285" s="95">
        <v>2250000</v>
      </c>
    </row>
    <row r="286" spans="17:24">
      <c r="Q286" s="99" t="s">
        <v>4909</v>
      </c>
      <c r="R286" s="95">
        <v>-2512200</v>
      </c>
    </row>
    <row r="287" spans="17:24">
      <c r="Q287" s="99" t="s">
        <v>4920</v>
      </c>
      <c r="R287" s="95">
        <v>300000</v>
      </c>
      <c r="T287" t="s">
        <v>25</v>
      </c>
    </row>
    <row r="288" spans="17:24">
      <c r="Q288" s="99" t="s">
        <v>981</v>
      </c>
      <c r="R288" s="95">
        <v>1100000</v>
      </c>
      <c r="T288" t="s">
        <v>25</v>
      </c>
    </row>
    <row r="289" spans="16:20">
      <c r="Q289" s="99" t="s">
        <v>4934</v>
      </c>
      <c r="R289" s="95">
        <v>890000</v>
      </c>
    </row>
    <row r="290" spans="16:20">
      <c r="Q290" s="99" t="s">
        <v>4963</v>
      </c>
      <c r="R290" s="95">
        <v>1000000</v>
      </c>
      <c r="T290" t="s">
        <v>25</v>
      </c>
    </row>
    <row r="291" spans="16:20">
      <c r="Q291" s="99" t="s">
        <v>4965</v>
      </c>
      <c r="R291" s="95">
        <v>45436311</v>
      </c>
      <c r="T291" t="s">
        <v>25</v>
      </c>
    </row>
    <row r="292" spans="16:20">
      <c r="Q292" s="99" t="s">
        <v>4965</v>
      </c>
      <c r="R292" s="95">
        <v>-3500000</v>
      </c>
    </row>
    <row r="293" spans="16:20">
      <c r="Q293" s="99" t="s">
        <v>4988</v>
      </c>
      <c r="R293" s="95">
        <v>2520000</v>
      </c>
    </row>
    <row r="294" spans="16:20">
      <c r="Q294" s="99" t="s">
        <v>5028</v>
      </c>
      <c r="R294" s="95">
        <v>4900000</v>
      </c>
      <c r="T294" t="s">
        <v>25</v>
      </c>
    </row>
    <row r="295" spans="16:20">
      <c r="Q295" s="99" t="s">
        <v>5051</v>
      </c>
      <c r="R295" s="95">
        <v>1150000</v>
      </c>
      <c r="T295" t="s">
        <v>25</v>
      </c>
    </row>
    <row r="296" spans="16:20">
      <c r="Q296" s="99" t="s">
        <v>5000</v>
      </c>
      <c r="R296" s="95">
        <v>250000</v>
      </c>
    </row>
    <row r="297" spans="16:20">
      <c r="Q297" s="99"/>
      <c r="R297" s="95"/>
      <c r="T297" t="s">
        <v>25</v>
      </c>
    </row>
    <row r="298" spans="16:20">
      <c r="Q298" s="99"/>
      <c r="R298" s="95">
        <f>SUM(R264:R297)</f>
        <v>421962945</v>
      </c>
      <c r="T298" t="s">
        <v>25</v>
      </c>
    </row>
    <row r="299" spans="16:20">
      <c r="Q299" s="99"/>
      <c r="R299" s="99" t="s">
        <v>6</v>
      </c>
    </row>
    <row r="302" spans="16:20">
      <c r="T302" t="s">
        <v>25</v>
      </c>
    </row>
    <row r="303" spans="16:20">
      <c r="P303" t="s">
        <v>25</v>
      </c>
      <c r="T303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24:I131 G122:G123 G142:G1048576 G132:G133 G135 G96:G113">
    <cfRule type="cellIs" dxfId="11" priority="12" operator="lessThan">
      <formula>0</formula>
    </cfRule>
  </conditionalFormatting>
  <conditionalFormatting sqref="G114">
    <cfRule type="cellIs" dxfId="10" priority="11" operator="lessThan">
      <formula>0</formula>
    </cfRule>
  </conditionalFormatting>
  <conditionalFormatting sqref="G117">
    <cfRule type="cellIs" dxfId="9" priority="3" operator="lessThan">
      <formula>0</formula>
    </cfRule>
  </conditionalFormatting>
  <conditionalFormatting sqref="G115">
    <cfRule type="cellIs" dxfId="8" priority="6" operator="lessThan">
      <formula>0</formula>
    </cfRule>
  </conditionalFormatting>
  <conditionalFormatting sqref="G118 G120">
    <cfRule type="cellIs" dxfId="7" priority="4" operator="lessThan">
      <formula>0</formula>
    </cfRule>
  </conditionalFormatting>
  <conditionalFormatting sqref="G121">
    <cfRule type="cellIs" dxfId="6" priority="1" operator="lessThan">
      <formula>0</formula>
    </cfRule>
  </conditionalFormatting>
  <conditionalFormatting sqref="G116">
    <cfRule type="cellIs" dxfId="5" priority="5" operator="lessThan">
      <formula>0</formula>
    </cfRule>
  </conditionalFormatting>
  <conditionalFormatting sqref="G119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10 S116:S117 S118:S120 S123 S129:S130 S125 S139 S37:S38 S153 S151 P22 S157 S134 S107 S43 S46 S48 G138 S166 S17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AgentBased</vt:lpstr>
      <vt:lpstr>وغدیر</vt:lpstr>
      <vt:lpstr>سرمایه گذاری ها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2019-05-08T11:11:50Z</dcterms:modified>
</cp:coreProperties>
</file>