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  <sheet name="سکه" sheetId="36" r:id="rId35"/>
    <sheet name="bluecard" sheetId="37" r:id="rId36"/>
  </sheets>
  <calcPr calcId="145621"/>
</workbook>
</file>

<file path=xl/calcChain.xml><?xml version="1.0" encoding="utf-8"?>
<calcChain xmlns="http://schemas.openxmlformats.org/spreadsheetml/2006/main">
  <c r="G127" i="13" l="1"/>
  <c r="O57" i="18" l="1"/>
  <c r="O56" i="18"/>
  <c r="F57" i="32" l="1"/>
  <c r="AH6" i="32"/>
  <c r="Z24" i="32"/>
  <c r="AE5" i="32"/>
  <c r="AE6" i="32"/>
  <c r="AE7" i="32"/>
  <c r="AE8" i="32"/>
  <c r="AE4" i="32"/>
  <c r="AD8" i="32"/>
  <c r="AD16" i="36" l="1"/>
  <c r="AD17" i="36" s="1"/>
  <c r="AC16" i="36"/>
  <c r="AG15" i="36"/>
  <c r="AH15" i="36" s="1"/>
  <c r="AF15" i="36"/>
  <c r="AE17" i="36"/>
  <c r="AE16" i="36"/>
  <c r="AE15" i="36"/>
  <c r="AG16" i="36" l="1"/>
  <c r="AH16" i="36" s="1"/>
  <c r="AC17" i="36"/>
  <c r="AG17" i="36" s="1"/>
  <c r="AH17" i="36" s="1"/>
  <c r="AF16" i="36"/>
  <c r="AE18" i="36"/>
  <c r="G42" i="36"/>
  <c r="AF17" i="36" l="1"/>
  <c r="AG18" i="36"/>
  <c r="AH18" i="36" s="1"/>
  <c r="AE19" i="36"/>
  <c r="AD7" i="32"/>
  <c r="Z32" i="32"/>
  <c r="S45" i="32"/>
  <c r="R45" i="32"/>
  <c r="Q45" i="32"/>
  <c r="M45" i="32"/>
  <c r="I56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J4" i="32"/>
  <c r="AH11" i="32"/>
  <c r="AK11" i="32" s="1"/>
  <c r="AG11" i="32"/>
  <c r="AJ11" i="32" s="1"/>
  <c r="AH10" i="32"/>
  <c r="AK10" i="32" s="1"/>
  <c r="AG10" i="32"/>
  <c r="AJ10" i="32" s="1"/>
  <c r="AH9" i="32"/>
  <c r="AK9" i="32" s="1"/>
  <c r="AK6" i="32"/>
  <c r="AG6" i="32"/>
  <c r="AJ6" i="32" s="1"/>
  <c r="AH4" i="32"/>
  <c r="AK4" i="32" s="1"/>
  <c r="AG4" i="32"/>
  <c r="AF6" i="32"/>
  <c r="AF9" i="32"/>
  <c r="AI9" i="32" s="1"/>
  <c r="AF11" i="32"/>
  <c r="AI11" i="32" s="1"/>
  <c r="AC12" i="32"/>
  <c r="AL6" i="32"/>
  <c r="AL10" i="32"/>
  <c r="AL11" i="32"/>
  <c r="AL4" i="32"/>
  <c r="AI6" i="32"/>
  <c r="AF4" i="32"/>
  <c r="AI4" i="32" s="1"/>
  <c r="AG5" i="32"/>
  <c r="AJ5" i="32" s="1"/>
  <c r="AH7" i="32"/>
  <c r="AK7" i="32" s="1"/>
  <c r="AH8" i="32"/>
  <c r="AK8" i="32" s="1"/>
  <c r="AE9" i="32"/>
  <c r="AG9" i="32" s="1"/>
  <c r="AJ9" i="32" s="1"/>
  <c r="AE10" i="32"/>
  <c r="AF10" i="32" s="1"/>
  <c r="AI10" i="32" s="1"/>
  <c r="AD5" i="32"/>
  <c r="AD6" i="32" s="1"/>
  <c r="AB12" i="32"/>
  <c r="AA12" i="32"/>
  <c r="Y12" i="32"/>
  <c r="B156" i="20"/>
  <c r="L25" i="18" l="1"/>
  <c r="Z34" i="32"/>
  <c r="AF8" i="32"/>
  <c r="AI8" i="32" s="1"/>
  <c r="AF18" i="36"/>
  <c r="AF19" i="36"/>
  <c r="AF7" i="32"/>
  <c r="AI7" i="32" s="1"/>
  <c r="AL7" i="32"/>
  <c r="AG7" i="32"/>
  <c r="AJ7" i="32" s="1"/>
  <c r="AE12" i="32"/>
  <c r="AL9" i="32"/>
  <c r="AL8" i="32"/>
  <c r="AF5" i="32"/>
  <c r="AH5" i="32"/>
  <c r="AG8" i="32"/>
  <c r="AJ8" i="32" s="1"/>
  <c r="AL5" i="32"/>
  <c r="N8" i="18"/>
  <c r="AG19" i="36" l="1"/>
  <c r="AH19" i="36" s="1"/>
  <c r="AJ12" i="32"/>
  <c r="AL12" i="32"/>
  <c r="AG12" i="32"/>
  <c r="AK5" i="32"/>
  <c r="AK12" i="32" s="1"/>
  <c r="AH12" i="32"/>
  <c r="AI5" i="32"/>
  <c r="AI12" i="32" s="1"/>
  <c r="AF12" i="32"/>
  <c r="M57" i="32" l="1"/>
  <c r="M70" i="32" s="1"/>
  <c r="K57" i="32"/>
  <c r="U57" i="32" s="1"/>
  <c r="K56" i="32"/>
  <c r="U56" i="32" s="1"/>
  <c r="R57" i="32" l="1"/>
  <c r="R70" i="32" s="1"/>
  <c r="AC15" i="32" s="1"/>
  <c r="S57" i="32"/>
  <c r="S70" i="32" s="1"/>
  <c r="AD15" i="32" s="1"/>
  <c r="L56" i="32"/>
  <c r="Q57" i="32"/>
  <c r="Q70" i="32" s="1"/>
  <c r="AB15" i="32" s="1"/>
  <c r="AB16" i="32" s="1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L27" i="18" l="1"/>
  <c r="AD16" i="32"/>
  <c r="L26" i="18"/>
  <c r="N26" i="18" s="1"/>
  <c r="AC16" i="32"/>
  <c r="B6" i="36"/>
  <c r="C6" i="36" s="1"/>
  <c r="D6" i="36" s="1"/>
  <c r="E6" i="36" s="1"/>
  <c r="F6" i="36" s="1"/>
  <c r="C5" i="36"/>
  <c r="D5" i="36" s="1"/>
  <c r="E5" i="36" s="1"/>
  <c r="F5" i="36" s="1"/>
  <c r="B5" i="36"/>
  <c r="L14" i="36"/>
  <c r="L9" i="36"/>
  <c r="G45" i="10"/>
  <c r="D42" i="34"/>
  <c r="T22" i="36" l="1"/>
  <c r="L24" i="18" s="1"/>
  <c r="U22" i="36"/>
  <c r="N25" i="18" s="1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D15" i="36" l="1"/>
  <c r="D19" i="36" s="1"/>
  <c r="C15" i="36"/>
  <c r="C19" i="36" s="1"/>
  <c r="A15" i="36"/>
  <c r="A19" i="36" s="1"/>
  <c r="B15" i="36"/>
  <c r="B19" i="36" s="1"/>
  <c r="E15" i="36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4" i="20"/>
  <c r="G153" i="20" s="1"/>
  <c r="G152" i="20" s="1"/>
  <c r="G151" i="20" s="1"/>
  <c r="G150" i="20" s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G155" i="20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0" i="32"/>
  <c r="U61" i="32"/>
  <c r="U62" i="32"/>
  <c r="U63" i="32"/>
  <c r="U64" i="32"/>
  <c r="U65" i="32"/>
  <c r="U66" i="32"/>
  <c r="U67" i="32"/>
  <c r="U68" i="32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G30" i="34" s="1"/>
  <c r="H30" i="34" l="1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U42" i="32" s="1"/>
  <c r="L42" i="32" s="1"/>
  <c r="M23" i="32"/>
  <c r="R23" i="32" s="1"/>
  <c r="K23" i="32"/>
  <c r="U23" i="32" s="1"/>
  <c r="K22" i="32"/>
  <c r="U22" i="32" s="1"/>
  <c r="I22" i="32"/>
  <c r="M7" i="32"/>
  <c r="B202" i="15"/>
  <c r="B127" i="13"/>
  <c r="I30" i="34" l="1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K28" i="32" l="1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6" i="13" l="1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E186" i="15"/>
  <c r="F196" i="15" l="1"/>
  <c r="F194" i="15"/>
  <c r="D184" i="15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3" i="20"/>
  <c r="K154" i="20"/>
  <c r="K155" i="20"/>
  <c r="J152" i="20"/>
  <c r="J153" i="20"/>
  <c r="J154" i="20"/>
  <c r="J155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H151" i="20"/>
  <c r="K151" i="20" s="1"/>
  <c r="H152" i="20"/>
  <c r="I152" i="20" s="1"/>
  <c r="H153" i="20"/>
  <c r="H154" i="20"/>
  <c r="H155" i="20"/>
  <c r="I140" i="20"/>
  <c r="D139" i="20"/>
  <c r="K152" i="20" l="1"/>
  <c r="I151" i="20"/>
  <c r="J151" i="20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I12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0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2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I119" i="20"/>
  <c r="K119" i="20"/>
  <c r="J116" i="20"/>
  <c r="E49" i="13"/>
  <c r="G50" i="13"/>
  <c r="I126" i="20"/>
  <c r="N17" i="18" l="1"/>
  <c r="N29" i="18" s="1"/>
  <c r="D163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30" i="18" l="1"/>
  <c r="L29" i="18"/>
  <c r="F15" i="18" s="1"/>
  <c r="G15" i="18" s="1"/>
  <c r="E33" i="13"/>
  <c r="G34" i="13"/>
  <c r="I97" i="20"/>
  <c r="K97" i="20"/>
  <c r="J97" i="20"/>
  <c r="F108" i="15"/>
  <c r="C20" i="18"/>
  <c r="E19" i="14"/>
  <c r="G20" i="14"/>
  <c r="G21" i="14"/>
  <c r="L31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F13" i="15"/>
  <c r="I156" i="20" l="1"/>
  <c r="I159" i="20" s="1"/>
  <c r="J159" i="20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<sst xmlns="http://schemas.openxmlformats.org/spreadsheetml/2006/main" count="2849" uniqueCount="1240">
  <si>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</si>
  <si>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</si>
  <si>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</si>
  <si>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</si>
  <si>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</si>
  <si>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</si>
  <si>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</si>
  <si>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</si>
  <si>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</si>
  <si>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</si>
  <si>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</si>
  <si>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</si>
  <si>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</si>
  <si>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</si>
  <si>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</si>
  <si>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</si>
  <si>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</si>
  <si>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</si>
  <si>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</si>
  <si>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</si>
  <si>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</si>
  <si>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</si>
  <si>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</si>
  <si>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</si>
  <si>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</si>
  <si>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</si>
  <si>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</si>
  <si>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</si>
  <si>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</si>
  <si>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</si>
  <si>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</si>
  <si>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</si>
  <si>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</si>
  <si>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</si>
  <si>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</si>
  <si>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</si>
  <si>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</si>
  <si>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</si>
  <si>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</si>
  <si>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</si>
  <si>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</si>
  <si>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</si>
  <si>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</si>
  <si>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</si>
  <si>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</si>
  <si>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</si>
  <si>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</si>
  <si>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</si>
  <si>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</si>
  <si>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</si>
  <si>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</si>
  <si>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</si>
  <si>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</si>
  <si>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</si>
  <si>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</si>
  <si>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</si>
  <si>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</si>
  <si>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</si>
  <si>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</si>
  <si>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</si>
  <si>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</si>
  <si>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</si>
  <si>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</si>
  <si>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</si>
  <si>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</si>
  <si>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</si>
  <si>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</si>
  <si>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</si>
  <si>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</si>
  <si>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</si>
  <si>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</si>
  <si>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</si>
  <si>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</si>
  <si>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</si>
  <si>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</si>
  <si>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</si>
  <si>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</si>
  <si>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</si>
  <si>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</si>
  <si>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</si>
  <si>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</si>
  <si>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</si>
  <si>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</si>
  <si>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</si>
  <si>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</si>
  <si>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</si>
  <si>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</si>
  <si>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</si>
  <si>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</si>
  <si>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</si>
  <si>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</si>
  <si>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</si>
  <si>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</si>
  <si>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</si>
  <si>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</si>
  <si>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</si>
  <si>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</si>
  <si>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</si>
  <si>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</si>
  <si>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</si>
  <si>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</si>
  <si>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</si>
  <si>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</si>
  <si>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</si>
  <si>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</si>
  <si>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</si>
  <si>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</si>
  <si>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</si>
  <si>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</si>
  <si>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</si>
  <si>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</si>
  <si>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</si>
  <si>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</si>
  <si>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</si>
  <si>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</si>
  <si>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</si>
  <si>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</si>
  <si>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</si>
  <si>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</si>
  <si>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</si>
  <si>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</si>
  <si>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</si>
  <si>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</si>
  <si>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</si>
  <si>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</si>
  <si>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</si>
  <si>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</si>
  <si>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</si>
  <si>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</si>
  <si>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</si>
  <si>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</si>
  <si>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</si>
  <si>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</si>
  <si>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</si>
  <si>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</si>
  <si>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</si>
  <si>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</si>
  <si>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</si>
  <si>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</si>
  <si>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</si>
  <si>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</si>
  <si>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</si>
  <si>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</si>
  <si>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</si>
  <si>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</si>
  <si>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</si>
  <si>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</si>
  <si>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</si>
  <si>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</si>
  <si>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</si>
  <si>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</si>
  <si>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</si>
  <si>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</si>
  <si>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</si>
  <si>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</si>
  <si>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</si>
  <si>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</si>
  <si>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</si>
  <si>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</si>
  <si>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</si>
  <si>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</si>
  <si>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</si>
  <si>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</si>
  <si>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</si>
  <si>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</si>
  <si>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</si>
  <si>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</si>
  <si>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</si>
  <si>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</si>
  <si>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</si>
  <si>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</si>
  <si>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</si>
  <si>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</si>
  <si>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</si>
  <si>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</si>
  <si>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</si>
  <si>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</si>
  <si>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</si>
  <si>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</si>
  <si>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</si>
  <si>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</si>
  <si>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</si>
  <si>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</si>
  <si>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</si>
  <si>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</si>
  <si>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</si>
  <si>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</si>
  <si>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</si>
  <si>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</si>
  <si>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</si>
  <si>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</si>
  <si>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</si>
  <si>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</si>
  <si>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</si>
  <si>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</si>
  <si>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</si>
  <si>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</si>
  <si>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</si>
  <si>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</si>
  <si>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</si>
  <si>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</si>
  <si>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</si>
  <si>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</si>
  <si>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</si>
  <si>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</si>
  <si>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</si>
  <si>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</si>
  <si>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</si>
  <si>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</si>
  <si>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</si>
  <si>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</si>
  <si>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</si>
  <si>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</si>
  <si>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</si>
  <si>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</si>
  <si>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</si>
  <si>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</si>
  <si>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</si>
  <si>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</si>
  <si>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</si>
  <si>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</si>
  <si>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</si>
  <si>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</si>
  <si>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</si>
  <si>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</si>
  <si>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</si>
  <si>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</si>
  <si>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</si>
  <si>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</si>
  <si>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</si>
  <si>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</si>
  <si>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</si>
  <si>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</si>
  <si>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</si>
  <si>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</si>
  <si>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</si>
  <si>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</si>
  <si>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</si>
  <si>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</si>
  <si>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</si>
  <si>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</si>
  <si>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</si>
  <si>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</si>
  <si>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</si>
  <si>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</si>
  <si>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</si>
  <si>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</si>
  <si>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</si>
  <si>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</si>
  <si>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</si>
  <si>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</si>
  <si>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</si>
  <si>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</si>
  <si>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</si>
  <si>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</si>
  <si>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</si>
  <si>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</si>
  <si>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</si>
  <si>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</si>
  <si>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</si>
  <si>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</si>
  <si>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</si>
  <si>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</si>
  <si>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</si>
  <si>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</si>
  <si>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</si>
  <si>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</si>
  <si>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</si>
  <si>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</si>
  <si>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</si>
  <si>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</si>
  <si>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</si>
  <si>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</si>
  <si>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</si>
  <si>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</si>
  <si>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</si>
  <si>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</si>
  <si>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</si>
  <si>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</si>
  <si>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</si>
  <si>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</si>
  <si>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</si>
  <si>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</si>
  <si>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</si>
  <si>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</si>
  <si>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</si>
  <si>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</si>
  <si>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</si>
  <si>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</si>
  <si>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</si>
  <si>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</si>
  <si>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</si>
  <si>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</si>
  <si>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</si>
  <si>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</si>
  <si>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</si>
  <si>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</si>
  <si>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</si>
  <si>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</si>
  <si>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</si>
  <si>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</si>
  <si>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</si>
  <si>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</si>
  <si>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</si>
  <si>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</si>
  <si>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</si>
  <si>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</si>
  <si>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</si>
  <si>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</si>
  <si>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</si>
  <si>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</si>
  <si>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</si>
  <si>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</si>
  <si>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</si>
  <si>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</si>
  <si>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</si>
  <si>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</si>
  <si>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</si>
  <si>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</si>
  <si>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</si>
  <si>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</si>
  <si>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</si>
  <si>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</si>
  <si>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</si>
  <si>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</si>
  <si>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</si>
  <si>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</si>
  <si>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</si>
  <si>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</si>
  <si>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</si>
  <si>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</si>
  <si>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</si>
  <si>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</si>
  <si>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</si>
  <si>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</si>
  <si>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</si>
  <si>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</si>
  <si>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</si>
  <si>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</si>
  <si>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</si>
  <si>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</si>
  <si>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</si>
  <si>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</si>
  <si>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</si>
  <si>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</si>
  <si>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</si>
  <si>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</si>
  <si>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</si>
  <si>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</si>
  <si>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</si>
  <si>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</si>
  <si>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</si>
  <si>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</si>
  <si>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</si>
  <si>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</si>
  <si>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</si>
  <si>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</si>
  <si>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</si>
  <si>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</si>
  <si>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</si>
  <si>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</si>
  <si>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</si>
  <si>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</si>
  <si>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</si>
  <si>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</si>
  <si>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</si>
  <si>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</si>
  <si>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</si>
  <si>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</si>
  <si>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</si>
  <si>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</si>
  <si>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</si>
  <si>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</si>
  <si>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</si>
  <si>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</si>
  <si>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</si>
  <si>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</si>
  <si>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</si>
  <si>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</si>
  <si>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</si>
  <si>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</si>
  <si>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</si>
  <si>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</si>
  <si>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</si>
  <si>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</si>
  <si>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</si>
  <si>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</si>
  <si>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</si>
  <si>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</si>
  <si>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</si>
  <si>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</si>
  <si>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</si>
  <si>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</si>
  <si>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</si>
  <si>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</si>
  <si>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</si>
  <si>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</si>
  <si>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</si>
  <si>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</si>
  <si>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</si>
  <si>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</si>
  <si>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</si>
  <si>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</si>
  <si>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</si>
  <si>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</si>
  <si>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</si>
  <si>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</si>
  <si>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</si>
  <si>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</si>
  <si>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</si>
  <si>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</si>
  <si>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</si>
  <si>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</si>
  <si>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</si>
  <si>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</si>
  <si>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</si>
  <si>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</si>
  <si>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</si>
  <si>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</si>
  <si>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</si>
  <si>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</si>
  <si>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</si>
  <si>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</si>
  <si>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</si>
  <si>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</si>
  <si>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</si>
  <si>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</si>
  <si>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</si>
  <si>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</si>
  <si>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</si>
  <si>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</si>
  <si>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</si>
  <si>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</si>
  <si>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</si>
  <si>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</si>
  <si>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</si>
  <si>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</si>
  <si>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</si>
  <si>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</si>
  <si>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</si>
  <si>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</si>
  <si>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</si>
  <si>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</si>
  <si>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</si>
  <si>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</si>
  <si>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</si>
  <si>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</si>
  <si>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</si>
  <si>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</si>
  <si>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</si>
  <si>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</si>
  <si>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</si>
  <si>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</si>
  <si>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</si>
  <si>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</si>
  <si>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</si>
  <si>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</si>
  <si>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</si>
  <si>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</si>
  <si>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</si>
  <si>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</si>
  <si>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</si>
  <si>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</si>
  <si>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</si>
  <si>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</si>
  <si>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</si>
  <si>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</si>
  <si>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</si>
  <si>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</si>
  <si>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</si>
  <si>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</si>
  <si>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</si>
  <si>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</si>
  <si>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</si>
  <si>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</si>
  <si>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</si>
  <si>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</si>
  <si>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</si>
  <si>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</si>
  <si>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</si>
  <si>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</si>
  <si>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</si>
  <si>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</si>
  <si>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</si>
  <si>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</si>
  <si>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</si>
  <si>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</si>
  <si>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</si>
  <si>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</si>
  <si>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</si>
  <si>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</si>
  <si>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</si>
  <si>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</si>
  <si>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</si>
  <si>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</si>
  <si>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</si>
  <si>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</si>
  <si>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</si>
  <si>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</si>
  <si>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</si>
  <si>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</si>
  <si>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</si>
  <si>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</si>
  <si>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</si>
  <si>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</si>
  <si>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</si>
  <si>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</si>
  <si>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</si>
  <si>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</si>
  <si>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</si>
  <si>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</si>
  <si>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</si>
  <si>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</si>
  <si>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</si>
  <si>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</si>
  <si>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</si>
  <si>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</si>
  <si>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</si>
  <si>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</si>
  <si>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</si>
  <si>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</si>
  <si>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</si>
  <si>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</si>
  <si>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</si>
  <si>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</si>
  <si>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</si>
  <si>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</si>
  <si>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</si>
  <si>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</si>
  <si>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</si>
  <si>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</si>
  <si>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</si>
  <si>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</si>
  <si>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</si>
  <si>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</si>
  <si>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</si>
  <si>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</si>
  <si>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</si>
  <si>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</si>
  <si>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</si>
  <si>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</si>
  <si>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</si>
  <si>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</si>
  <si>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</si>
  <si>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</si>
  <si>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</si>
  <si>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</si>
  <si>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</si>
  <si>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</si>
  <si>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</si>
  <si>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</si>
  <si>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</si>
  <si>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</si>
  <si>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</si>
  <si>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</si>
  <si>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</si>
  <si>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</si>
  <si>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</si>
  <si>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</si>
  <si>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</si>
  <si>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</si>
  <si>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</si>
  <si>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</si>
  <si>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</si>
  <si>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</si>
  <si>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</si>
  <si>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</si>
  <si>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</si>
  <si>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</si>
  <si>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</si>
  <si>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</si>
  <si>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</si>
  <si>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</si>
  <si>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</si>
  <si>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</si>
  <si>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</si>
  <si>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</si>
  <si>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</si>
  <si>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</si>
  <si>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</si>
  <si>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</si>
  <si>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</si>
  <si>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</si>
  <si>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</si>
  <si>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</si>
  <si>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</si>
  <si>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</si>
  <si>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</si>
  <si>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</si>
  <si>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</si>
  <si>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</si>
  <si>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</si>
  <si>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</si>
  <si>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</si>
  <si>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</si>
  <si>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</si>
  <si>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</si>
  <si>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</si>
  <si>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</si>
  <si>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</si>
  <si>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</si>
  <si>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</si>
  <si>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</si>
  <si>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</si>
  <si>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</si>
  <si>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</si>
  <si>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</si>
  <si>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</si>
  <si>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</si>
  <si>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</si>
  <si>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</si>
  <si>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</si>
  <si>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</si>
  <si>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</si>
  <si>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</si>
  <si>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</si>
  <si>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</si>
  <si>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</si>
  <si>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</si>
  <si>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</si>
  <si>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</si>
  <si>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</si>
  <si>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</si>
  <si>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</si>
  <si>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</si>
  <si>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</si>
  <si>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</si>
  <si>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</si>
  <si>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</si>
  <si>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</si>
  <si>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</si>
  <si>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</si>
  <si>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</si>
  <si>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</si>
  <si>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</si>
  <si>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</si>
  <si>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</si>
  <si>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</si>
  <si>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</si>
  <si>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</si>
  <si>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</si>
  <si>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</si>
  <si>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</si>
  <si>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</si>
  <si>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</si>
  <si>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</si>
  <si>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</si>
  <si>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</si>
  <si>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</si>
  <si>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</si>
  <si>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</si>
  <si>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</si>
  <si>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</si>
  <si>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</si>
  <si>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</si>
  <si>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</si>
  <si>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</si>
  <si>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</si>
  <si>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</si>
  <si>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</si>
  <si>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</si>
  <si>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</si>
  <si>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</si>
  <si>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</si>
  <si>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</si>
  <si>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</si>
  <si>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</si>
  <si>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</si>
  <si>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</si>
  <si>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</si>
  <si>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</si>
  <si>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</si>
  <si>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</si>
  <si>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</si>
  <si>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</si>
  <si>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</si>
  <si>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</si>
  <si>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</si>
  <si>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</si>
  <si>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</si>
  <si>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</si>
  <si>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</si>
  <si>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</si>
  <si>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</si>
  <si>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</si>
  <si>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</si>
  <si>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</si>
  <si>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</si>
  <si>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</si>
  <si>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</si>
  <si>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</si>
  <si>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</si>
  <si>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</si>
  <si>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</si>
  <si>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</si>
  <si>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</si>
  <si>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</si>
  <si>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</si>
  <si>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</si>
  <si>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</si>
  <si>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</si>
  <si>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</si>
  <si>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</si>
  <si>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</si>
  <si>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</si>
  <si>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</si>
  <si>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</si>
  <si>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</si>
  <si>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</si>
  <si>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</si>
  <si>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</si>
  <si>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</si>
  <si>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</si>
  <si>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</si>
  <si>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</si>
  <si>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</si>
  <si>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</si>
  <si>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</si>
  <si>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</si>
  <si>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</si>
  <si>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</si>
  <si>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</si>
  <si>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</si>
  <si>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</si>
  <si>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</si>
  <si>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</si>
  <si>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</si>
  <si>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</si>
  <si>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</si>
  <si>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</si>
  <si>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</si>
  <si>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</si>
  <si>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</si>
  <si>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</si>
  <si>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</si>
  <si>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</si>
  <si>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</si>
  <si>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</si>
  <si>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</si>
  <si>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</si>
  <si>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</si>
  <si>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</si>
  <si>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</si>
  <si>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</si>
  <si>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</si>
  <si>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</si>
  <si>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</si>
  <si>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</si>
  <si>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</si>
  <si>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</si>
  <si>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</si>
  <si>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</si>
  <si>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</si>
  <si>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</si>
  <si>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</si>
  <si>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</si>
  <si>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</si>
  <si>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</si>
  <si>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</si>
  <si>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</si>
  <si>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</si>
  <si>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</si>
  <si>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</si>
  <si>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</si>
  <si>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</si>
  <si>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</si>
  <si>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</si>
  <si>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</si>
  <si>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</si>
  <si>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</si>
  <si>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</si>
  <si>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</si>
  <si>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</si>
  <si>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</si>
  <si>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</si>
  <si>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</si>
  <si>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</si>
  <si>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</si>
  <si>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</si>
  <si>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</si>
  <si>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</si>
  <si>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</si>
  <si>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</si>
  <si>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</si>
  <si>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</si>
  <si>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</si>
  <si>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</si>
  <si>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</si>
  <si>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</si>
  <si>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</si>
  <si>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</si>
  <si>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</si>
  <si>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</si>
  <si>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</si>
  <si>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</si>
  <si>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</si>
  <si>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</si>
  <si>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</si>
  <si>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</si>
  <si>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</si>
  <si>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</si>
  <si>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</si>
  <si>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</si>
  <si>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</si>
  <si>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</si>
  <si>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</si>
  <si>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</si>
  <si>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</si>
  <si>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</si>
  <si>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</si>
  <si>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</si>
  <si>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</si>
  <si>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</si>
  <si>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</si>
  <si>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</si>
  <si>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</si>
  <si>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</si>
  <si>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</si>
  <si>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</si>
  <si>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</si>
  <si>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</si>
  <si>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</si>
  <si>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</si>
  <si>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</si>
  <si>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</si>
  <si>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</si>
  <si>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</si>
  <si>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</si>
  <si>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</si>
  <si>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</si>
  <si>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</si>
  <si>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</si>
  <si>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</si>
  <si>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</si>
  <si>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</si>
  <si>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</si>
  <si>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</si>
  <si>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</si>
  <si>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</si>
  <si>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</si>
  <si>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</si>
  <si>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</si>
  <si>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</si>
  <si>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</si>
  <si>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</si>
  <si>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</si>
  <si>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</si>
  <si>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</si>
  <si>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</si>
  <si>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</si>
  <si>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</si>
  <si>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</si>
  <si>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</si>
  <si>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</si>
  <si>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</si>
  <si>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</si>
  <si>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</si>
  <si>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</si>
  <si>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</si>
  <si>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</si>
  <si>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</si>
  <si>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</si>
  <si>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</si>
  <si>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</si>
  <si>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</si>
  <si>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</si>
  <si>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</si>
  <si>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</si>
  <si>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</si>
  <si>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</si>
  <si>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</si>
  <si>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</si>
  <si>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</si>
  <si>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</si>
  <si>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</si>
  <si>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</si>
  <si>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</si>
  <si>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</si>
  <si>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</si>
  <si>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</si>
  <si>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</si>
  <si>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</si>
  <si>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</si>
  <si>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</si>
  <si>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</si>
  <si>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</si>
  <si>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</si>
  <si>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</si>
  <si>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</si>
  <si>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</si>
  <si>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</si>
  <si>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</si>
  <si>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</si>
  <si>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</si>
  <si>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</si>
  <si>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</si>
  <si>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</si>
  <si>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</si>
  <si>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</si>
  <si>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</si>
  <si>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</si>
  <si>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</si>
  <si>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</si>
  <si>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</si>
  <si>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</si>
  <si>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</si>
  <si>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</si>
  <si>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</si>
  <si>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</si>
  <si>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</si>
  <si>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</si>
  <si>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</si>
  <si>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</si>
  <si>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</si>
  <si>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</si>
  <si>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</si>
  <si>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</si>
  <si>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</si>
  <si>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</si>
  <si>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</si>
  <si>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</si>
  <si>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</si>
  <si>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</si>
  <si>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</si>
  <si>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</si>
  <si>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</si>
  <si>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</si>
  <si>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</si>
  <si>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</si>
  <si>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</si>
  <si>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</si>
  <si>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</si>
  <si>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</si>
  <si>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</si>
  <si>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</si>
  <si>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</si>
  <si>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</si>
  <si>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</si>
  <si>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</si>
  <si>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</si>
  <si>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</si>
  <si>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</si>
  <si>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</si>
  <si>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</si>
  <si>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</si>
  <si>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</si>
  <si>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</si>
  <si>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</si>
  <si>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</si>
  <si>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</si>
  <si>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</si>
  <si>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</si>
  <si>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</si>
  <si>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</si>
  <si>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</si>
  <si>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</si>
  <si>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</si>
  <si>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</si>
  <si>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</si>
  <si>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</si>
  <si>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</si>
  <si>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</si>
  <si>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</si>
  <si>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</si>
  <si>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</si>
  <si>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</si>
  <si>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</si>
  <si>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</si>
  <si>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</si>
  <si>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</si>
  <si>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</si>
  <si>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</si>
  <si>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</si>
  <si>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</si>
  <si>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</si>
  <si>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</si>
  <si>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</si>
  <si>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</si>
  <si>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</si>
  <si>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</si>
  <si>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</si>
  <si>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</si>
  <si>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</si>
  <si>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</si>
  <si>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</si>
  <si>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</si>
  <si>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</si>
  <si>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</si>
  <si>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</si>
  <si>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</si>
  <si>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</si>
  <si>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</si>
  <si>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</si>
  <si>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</si>
  <si>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</si>
  <si>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</si>
  <si>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</si>
  <si>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</si>
  <si>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</si>
  <si>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</si>
  <si>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</si>
  <si>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</si>
  <si>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</si>
  <si>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</si>
  <si>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</si>
  <si>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</si>
  <si>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</si>
  <si>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</si>
  <si>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</si>
  <si>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</si>
  <si>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</si>
  <si>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</si>
  <si>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</si>
  <si>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</si>
  <si>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</si>
  <si>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</si>
  <si>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</si>
  <si>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</si>
  <si>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</si>
  <si>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</si>
  <si>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</si>
  <si>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</si>
  <si>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</si>
  <si>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</si>
  <si>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</si>
  <si>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</si>
  <si>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</si>
  <si>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</si>
  <si>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</si>
  <si>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</si>
  <si>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</si>
  <si>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</si>
  <si>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</si>
  <si>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</si>
  <si>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</si>
  <si>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</si>
  <si>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</si>
  <si>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</si>
  <si>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</si>
  <si>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</si>
  <si>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</si>
  <si>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</si>
  <si>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</si>
  <si>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</si>
  <si>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</si>
  <si>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</si>
  <si>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</si>
  <si>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</si>
  <si>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</si>
  <si>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</si>
  <si>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</si>
  <si>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</si>
  <si>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</si>
  <si>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</si>
  <si>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</si>
  <si>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</si>
  <si>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</si>
  <si>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</si>
  <si>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</si>
  <si>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</si>
  <si>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</si>
  <si>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</si>
  <si>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</si>
  <si>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</si>
  <si>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</si>
  <si>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</si>
  <si>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</si>
  <si>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</si>
  <si>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</si>
  <si>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</si>
  <si>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</si>
  <si>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</si>
  <si>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</si>
  <si>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</si>
  <si>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</si>
  <si>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</si>
  <si>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</si>
  <si>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</si>
  <si>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</si>
  <si>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</si>
  <si>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</si>
  <si>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</si>
  <si>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</si>
  <si>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</si>
  <si>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</si>
  <si>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</si>
  <si>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</si>
  <si>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</si>
  <si>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</si>
  <si>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</si>
  <si>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</si>
  <si>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</si>
  <si>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</si>
  <si>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</si>
  <si>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</si>
  <si>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</si>
  <si>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</si>
  <si>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</si>
  <si>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</si>
  <si>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</si>
  <si>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</si>
  <si>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</si>
  <si>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</si>
  <si>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</si>
  <si>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</si>
  <si>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</si>
  <si>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</si>
  <si>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</si>
  <si>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</si>
  <si>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</si>
  <si>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</si>
  <si>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</si>
  <si>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</si>
  <si>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</si>
  <si>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</si>
  <si>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</si>
  <si>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</si>
  <si>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</si>
  <si>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</si>
  <si>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</si>
  <si>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</si>
  <si>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</si>
  <si>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</si>
  <si>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</si>
  <si>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</si>
  <si>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</si>
  <si>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</si>
  <si>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</si>
  <si>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</si>
  <si>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</si>
  <si>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</si>
  <si>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</si>
  <si>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</si>
  <si>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</si>
  <si>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</si>
  <si>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</si>
  <si>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</si>
  <si>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</si>
  <si>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</si>
  <si>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</si>
  <si>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</si>
  <si>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</si>
  <si>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</si>
  <si>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</si>
  <si>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</si>
  <si>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</si>
  <si>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</si>
  <si>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</si>
  <si>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</si>
  <si>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</si>
  <si>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</si>
  <si>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</si>
  <si>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</si>
  <si>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</si>
  <si>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</si>
  <si>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</si>
  <si>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</si>
  <si>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</si>
  <si>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</si>
  <si>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از کارت یاران مریم</t>
  </si>
  <si>
    <t>سخاب7</t>
  </si>
  <si>
    <t>احتمالا مریم خرج کرده است</t>
  </si>
  <si>
    <t>از کارت یاران سارا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</si>
  <si>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</si>
  <si>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</si>
  <si>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</si>
  <si>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</si>
  <si>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</si>
  <si>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</si>
  <si>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</si>
  <si>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</si>
  <si>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21/1/1397</t>
  </si>
  <si>
    <t>دریافت</t>
  </si>
  <si>
    <t>دریافت از بورس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</si>
  <si>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</si>
  <si>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</si>
  <si>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</si>
  <si>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</si>
  <si>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</si>
  <si>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</si>
  <si>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</si>
  <si>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</si>
  <si>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</si>
  <si>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</si>
  <si>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</si>
  <si>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</si>
  <si>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</si>
  <si>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</si>
  <si>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</si>
  <si>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</si>
  <si>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</si>
  <si>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</si>
  <si>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</si>
  <si>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</si>
  <si>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</si>
  <si>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</si>
  <si>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سهام مریم و سارا و علی</t>
  </si>
  <si>
    <t>طلب یکشنبه</t>
  </si>
  <si>
    <t>طلب آخر اردیبهشت</t>
  </si>
  <si>
    <t>حقوق فروردین</t>
  </si>
  <si>
    <t>مهدی اول اردیبهشت</t>
  </si>
  <si>
    <t>مهدی اول خرداد</t>
  </si>
  <si>
    <t>حسین اکبریان</t>
  </si>
  <si>
    <t>رضا تیر ماه</t>
  </si>
  <si>
    <t>حقوق اردیبهشت</t>
  </si>
  <si>
    <t>داریوش</t>
  </si>
  <si>
    <t>بهروز</t>
  </si>
  <si>
    <t>حقوق خرداد</t>
  </si>
  <si>
    <t>جمع</t>
  </si>
  <si>
    <t>مبلغ پیشبینی مورد نیاز</t>
  </si>
  <si>
    <t>مراحل کار</t>
  </si>
  <si>
    <t>ارزشیابی مدرک تحصیلی</t>
  </si>
  <si>
    <t>anabin.kmk.org</t>
  </si>
  <si>
    <t>zab@kmk.org</t>
  </si>
  <si>
    <t>تکمیل فرم آنلاین در سایت anabin</t>
  </si>
  <si>
    <t>ایمیل با application number  ارسال میشود</t>
  </si>
  <si>
    <t>ZAB Address</t>
  </si>
  <si>
    <t>Centran Office for foreign education zab PO Box 2240 Bonn 53012 Germany</t>
  </si>
  <si>
    <t>ترجمه رسمی و تایید شده مدرک تحصیلی و ریز نمرات ترجمه رسمی شناسنامه یا کپی برابر اصل گذرنامه</t>
  </si>
  <si>
    <t>هزینه 100 یورو برای بار نخست و 50 یورو دفعات بعد. رسید پرداخت باید با مدارک ارسال شود. 2 تا 3 ماه طول میکشد</t>
  </si>
  <si>
    <t>پیدا کردن کار</t>
  </si>
  <si>
    <t>make-it-in-germany.com</t>
  </si>
  <si>
    <t>سایت کار یابی</t>
  </si>
  <si>
    <t>www.apply.eu</t>
  </si>
  <si>
    <t>سایت اتحادیه اروپا</t>
  </si>
  <si>
    <t>از طریق سایت اتحادیه اروپا هم میتوان برای کل اروپا مدرک را ارزشیابی کرد</t>
  </si>
  <si>
    <t>لینک مفید</t>
  </si>
  <si>
    <t>www.study-in.de</t>
  </si>
  <si>
    <t>اخذ بلو کارت</t>
  </si>
  <si>
    <t>سفارت آلمان</t>
  </si>
  <si>
    <t>www.tehran.diploma.de</t>
  </si>
  <si>
    <t>حدود 3 ماه طول میکشد</t>
  </si>
  <si>
    <t>english speaking countries</t>
  </si>
  <si>
    <t>Australia</t>
  </si>
  <si>
    <t>Canada</t>
  </si>
  <si>
    <t>Ireland</t>
  </si>
  <si>
    <t>New Zealand</t>
  </si>
  <si>
    <t>United Kingdom</t>
  </si>
  <si>
    <t>United States of America</t>
  </si>
  <si>
    <t>بدهی به کاظم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</si>
</sst>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udy-in.de/" TargetMode="External"/><Relationship Id="rId2" Type="http://schemas.openxmlformats.org/officeDocument/2006/relationships/hyperlink" Target="http://www.apply.eu/" TargetMode="External"/><Relationship Id="rId1" Type="http://schemas.openxmlformats.org/officeDocument/2006/relationships/hyperlink" Target="mailto:zab@kmk.org" TargetMode="External"/><Relationship Id="rId4" Type="http://schemas.openxmlformats.org/officeDocument/2006/relationships/hyperlink" Target="http://www.tehran.diploma.de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E38" sqref="E3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1050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1089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1090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1108</v>
      </c>
      <c r="B4" s="18">
        <v>-52000000</v>
      </c>
      <c r="C4" s="18">
        <v>0</v>
      </c>
      <c r="D4" s="3">
        <f t="shared" si="0"/>
        <v>-52000000</v>
      </c>
      <c r="E4" s="11" t="s">
        <v>1112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1158</v>
      </c>
      <c r="B5" s="18">
        <v>-8000000</v>
      </c>
      <c r="C5" s="18">
        <v>-6772131</v>
      </c>
      <c r="D5" s="3">
        <f t="shared" si="0"/>
        <v>-1227869</v>
      </c>
      <c r="E5" s="20" t="s">
        <v>1026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1158</v>
      </c>
      <c r="B6" s="18">
        <v>-31230</v>
      </c>
      <c r="C6" s="18">
        <v>0</v>
      </c>
      <c r="D6" s="3">
        <f t="shared" si="0"/>
        <v>-31230</v>
      </c>
      <c r="E6" s="19" t="s">
        <v>1161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779193</v>
      </c>
      <c r="C24" s="3">
        <f>SUM(C2:C22)</f>
        <v>779193</v>
      </c>
      <c r="D24" s="3">
        <f>SUM(D2:D22)</f>
        <v>0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130722.72054794521</v>
      </c>
      <c r="H30" s="18">
        <f>G30*H25/G25</f>
        <v>39801.136438356159</v>
      </c>
      <c r="I30" s="18">
        <f>G30*I25/G25</f>
        <v>90921.58410958905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1092</v>
      </c>
      <c r="G31" s="9" t="s">
        <v>1053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1068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1091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1134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1170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1174</v>
      </c>
    </row>
    <row r="37" spans="4:17" x14ac:dyDescent="0.25">
      <c r="D37" s="7">
        <v>-65500</v>
      </c>
      <c r="E37" s="41" t="s">
        <v>1189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17" activePane="bottomLeft" state="frozen"/>
      <selection pane="bottomLeft" activeCell="E118" sqref="E11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730</v>
      </c>
      <c r="H2" s="36">
        <f>IF(B2&gt;0,1,0)</f>
        <v>1</v>
      </c>
      <c r="I2" s="11">
        <f>B2*(G2-H2)</f>
        <v>12174300</v>
      </c>
      <c r="J2" s="53">
        <f>C2*(G2-H2)</f>
        <v>12174300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729</v>
      </c>
      <c r="H3" s="36">
        <f t="shared" ref="H3:H66" si="2">IF(B3&gt;0,1,0)</f>
        <v>1</v>
      </c>
      <c r="I3" s="11">
        <f t="shared" ref="I3:I66" si="3">B3*(G3-H3)</f>
        <v>14487200000</v>
      </c>
      <c r="J3" s="53">
        <f t="shared" ref="J3:J66" si="4">C3*(G3-H3)</f>
        <v>8289736000</v>
      </c>
      <c r="K3" s="53">
        <f t="shared" ref="K3:K66" si="5">D3*(G3-H3)</f>
        <v>6197464000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729</v>
      </c>
      <c r="H4" s="36">
        <f t="shared" si="2"/>
        <v>0</v>
      </c>
      <c r="I4" s="11">
        <f t="shared" si="3"/>
        <v>0</v>
      </c>
      <c r="J4" s="53">
        <f t="shared" si="4"/>
        <v>6196500</v>
      </c>
      <c r="K4" s="53">
        <f t="shared" si="5"/>
        <v>-6196500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727</v>
      </c>
      <c r="H5" s="36">
        <f t="shared" si="2"/>
        <v>1</v>
      </c>
      <c r="I5" s="11">
        <f t="shared" si="3"/>
        <v>1452000000</v>
      </c>
      <c r="J5" s="53">
        <f t="shared" si="4"/>
        <v>0</v>
      </c>
      <c r="K5" s="53">
        <f t="shared" si="5"/>
        <v>1452000000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720</v>
      </c>
      <c r="H6" s="36">
        <f t="shared" si="2"/>
        <v>0</v>
      </c>
      <c r="I6" s="11">
        <f t="shared" si="3"/>
        <v>-3600000</v>
      </c>
      <c r="J6" s="53">
        <f t="shared" si="4"/>
        <v>0</v>
      </c>
      <c r="K6" s="53">
        <f t="shared" si="5"/>
        <v>-3600000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716</v>
      </c>
      <c r="H7" s="36">
        <f t="shared" si="2"/>
        <v>0</v>
      </c>
      <c r="I7" s="11">
        <f t="shared" si="3"/>
        <v>-859558000</v>
      </c>
      <c r="J7" s="53">
        <f t="shared" si="4"/>
        <v>0</v>
      </c>
      <c r="K7" s="53">
        <f t="shared" si="5"/>
        <v>-859558000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715</v>
      </c>
      <c r="H8" s="36">
        <f t="shared" si="2"/>
        <v>0</v>
      </c>
      <c r="I8" s="11">
        <f t="shared" si="3"/>
        <v>-143000000</v>
      </c>
      <c r="J8" s="53">
        <f t="shared" si="4"/>
        <v>0</v>
      </c>
      <c r="K8" s="53">
        <f t="shared" si="5"/>
        <v>-143000000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713</v>
      </c>
      <c r="H9" s="36">
        <f t="shared" si="2"/>
        <v>0</v>
      </c>
      <c r="I9" s="11">
        <f t="shared" si="3"/>
        <v>-503021500</v>
      </c>
      <c r="J9" s="53">
        <f t="shared" si="4"/>
        <v>0</v>
      </c>
      <c r="K9" s="53">
        <f t="shared" si="5"/>
        <v>-503021500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704</v>
      </c>
      <c r="H10" s="36">
        <f t="shared" si="2"/>
        <v>0</v>
      </c>
      <c r="I10" s="11">
        <f t="shared" si="3"/>
        <v>-140800000</v>
      </c>
      <c r="J10" s="53">
        <f t="shared" si="4"/>
        <v>0</v>
      </c>
      <c r="K10" s="53">
        <f t="shared" si="5"/>
        <v>-140800000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704</v>
      </c>
      <c r="H11" s="36">
        <f t="shared" si="2"/>
        <v>1</v>
      </c>
      <c r="I11" s="11">
        <f t="shared" si="3"/>
        <v>703000000</v>
      </c>
      <c r="J11" s="53">
        <f t="shared" si="4"/>
        <v>0</v>
      </c>
      <c r="K11" s="53">
        <f t="shared" si="5"/>
        <v>703000000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700</v>
      </c>
      <c r="H12" s="36">
        <f t="shared" si="2"/>
        <v>0</v>
      </c>
      <c r="I12" s="11">
        <f t="shared" si="3"/>
        <v>-210000000</v>
      </c>
      <c r="J12" s="53">
        <f t="shared" si="4"/>
        <v>0</v>
      </c>
      <c r="K12" s="53">
        <f t="shared" si="5"/>
        <v>-210000000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695</v>
      </c>
      <c r="H13" s="36">
        <f t="shared" si="2"/>
        <v>0</v>
      </c>
      <c r="I13" s="11">
        <f t="shared" si="3"/>
        <v>-43090000</v>
      </c>
      <c r="J13" s="53">
        <f t="shared" si="4"/>
        <v>0</v>
      </c>
      <c r="K13" s="53">
        <f t="shared" si="5"/>
        <v>-43090000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695</v>
      </c>
      <c r="H14" s="36">
        <f t="shared" si="2"/>
        <v>1</v>
      </c>
      <c r="I14" s="11">
        <f t="shared" si="3"/>
        <v>1388000000</v>
      </c>
      <c r="J14" s="53">
        <f t="shared" si="4"/>
        <v>0</v>
      </c>
      <c r="K14" s="53">
        <f t="shared" si="5"/>
        <v>1388000000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694</v>
      </c>
      <c r="H15" s="36">
        <f t="shared" si="2"/>
        <v>1</v>
      </c>
      <c r="I15" s="11">
        <f t="shared" si="3"/>
        <v>1247400000</v>
      </c>
      <c r="J15" s="53">
        <f t="shared" si="4"/>
        <v>0</v>
      </c>
      <c r="K15" s="53">
        <f t="shared" si="5"/>
        <v>1247400000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694</v>
      </c>
      <c r="H16" s="36">
        <f t="shared" si="2"/>
        <v>0</v>
      </c>
      <c r="I16" s="11">
        <f t="shared" si="3"/>
        <v>-138800000</v>
      </c>
      <c r="J16" s="53">
        <f t="shared" si="4"/>
        <v>0</v>
      </c>
      <c r="K16" s="53">
        <f t="shared" si="5"/>
        <v>-138800000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690</v>
      </c>
      <c r="H17" s="36">
        <f t="shared" si="2"/>
        <v>0</v>
      </c>
      <c r="I17" s="11">
        <f t="shared" si="3"/>
        <v>-1380000000</v>
      </c>
      <c r="J17" s="53">
        <f t="shared" si="4"/>
        <v>0</v>
      </c>
      <c r="K17" s="53">
        <f t="shared" si="5"/>
        <v>-1380000000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689</v>
      </c>
      <c r="H18" s="36">
        <f t="shared" si="2"/>
        <v>0</v>
      </c>
      <c r="I18" s="11">
        <f t="shared" si="3"/>
        <v>-206700000</v>
      </c>
      <c r="J18" s="53">
        <f t="shared" si="4"/>
        <v>0</v>
      </c>
      <c r="K18" s="53">
        <f t="shared" si="5"/>
        <v>-206700000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688</v>
      </c>
      <c r="H19" s="36">
        <f t="shared" si="2"/>
        <v>0</v>
      </c>
      <c r="I19" s="11">
        <f t="shared" si="3"/>
        <v>-137600000</v>
      </c>
      <c r="J19" s="53">
        <f t="shared" si="4"/>
        <v>0</v>
      </c>
      <c r="K19" s="53">
        <f t="shared" si="5"/>
        <v>-137600000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686</v>
      </c>
      <c r="H20" s="36">
        <f t="shared" si="2"/>
        <v>1</v>
      </c>
      <c r="I20" s="11">
        <f t="shared" si="3"/>
        <v>185695965</v>
      </c>
      <c r="J20" s="53">
        <f t="shared" si="4"/>
        <v>101004620</v>
      </c>
      <c r="K20" s="53">
        <f t="shared" si="5"/>
        <v>84691345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684</v>
      </c>
      <c r="H21" s="36">
        <f t="shared" si="2"/>
        <v>0</v>
      </c>
      <c r="I21" s="11">
        <f t="shared" si="3"/>
        <v>-1029898800</v>
      </c>
      <c r="J21" s="53">
        <f t="shared" si="4"/>
        <v>0</v>
      </c>
      <c r="K21" s="53">
        <f t="shared" si="5"/>
        <v>-1029898800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681</v>
      </c>
      <c r="H22" s="36">
        <f t="shared" si="2"/>
        <v>1</v>
      </c>
      <c r="I22" s="11">
        <f t="shared" si="3"/>
        <v>2040000000</v>
      </c>
      <c r="J22" s="53">
        <f t="shared" si="4"/>
        <v>0</v>
      </c>
      <c r="K22" s="53">
        <f t="shared" si="5"/>
        <v>2040000000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680</v>
      </c>
      <c r="H23" s="36">
        <f t="shared" si="2"/>
        <v>1</v>
      </c>
      <c r="I23" s="11">
        <f t="shared" si="3"/>
        <v>679000000</v>
      </c>
      <c r="J23" s="53">
        <f t="shared" si="4"/>
        <v>0</v>
      </c>
      <c r="K23" s="53">
        <f t="shared" si="5"/>
        <v>679000000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679</v>
      </c>
      <c r="H24" s="36">
        <f t="shared" si="2"/>
        <v>0</v>
      </c>
      <c r="I24" s="11">
        <f t="shared" si="3"/>
        <v>-2037611100</v>
      </c>
      <c r="J24" s="53">
        <f t="shared" si="4"/>
        <v>0</v>
      </c>
      <c r="K24" s="53">
        <f t="shared" si="5"/>
        <v>-2037611100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664</v>
      </c>
      <c r="H25" s="36">
        <f t="shared" si="2"/>
        <v>1</v>
      </c>
      <c r="I25" s="11">
        <f t="shared" si="3"/>
        <v>994500000</v>
      </c>
      <c r="J25" s="53">
        <f t="shared" si="4"/>
        <v>0</v>
      </c>
      <c r="K25" s="53">
        <f t="shared" si="5"/>
        <v>994500000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656</v>
      </c>
      <c r="H26" s="36">
        <f t="shared" si="2"/>
        <v>0</v>
      </c>
      <c r="I26" s="11">
        <f t="shared" si="3"/>
        <v>-107584000</v>
      </c>
      <c r="J26" s="53">
        <f t="shared" si="4"/>
        <v>0</v>
      </c>
      <c r="K26" s="53">
        <f t="shared" si="5"/>
        <v>-107584000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655</v>
      </c>
      <c r="H27" s="36">
        <f t="shared" si="2"/>
        <v>1</v>
      </c>
      <c r="I27" s="11">
        <f t="shared" si="3"/>
        <v>130403022</v>
      </c>
      <c r="J27" s="53">
        <f t="shared" si="4"/>
        <v>70248102</v>
      </c>
      <c r="K27" s="53">
        <f t="shared" si="5"/>
        <v>60154920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653</v>
      </c>
      <c r="H28" s="36">
        <f t="shared" si="2"/>
        <v>0</v>
      </c>
      <c r="I28" s="11">
        <f t="shared" si="3"/>
        <v>-144313000</v>
      </c>
      <c r="J28" s="53">
        <f t="shared" si="4"/>
        <v>-144313000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653</v>
      </c>
      <c r="H29" s="36">
        <f t="shared" si="2"/>
        <v>0</v>
      </c>
      <c r="I29" s="11">
        <f t="shared" si="3"/>
        <v>-326826500</v>
      </c>
      <c r="J29" s="53">
        <f t="shared" si="4"/>
        <v>0</v>
      </c>
      <c r="K29" s="53">
        <f t="shared" si="5"/>
        <v>-326826500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653</v>
      </c>
      <c r="H30" s="36">
        <f t="shared" si="2"/>
        <v>0</v>
      </c>
      <c r="I30" s="11">
        <f t="shared" si="3"/>
        <v>-9795000000</v>
      </c>
      <c r="J30" s="53">
        <f t="shared" si="4"/>
        <v>-9795000000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636</v>
      </c>
      <c r="H31" s="36">
        <f t="shared" si="2"/>
        <v>0</v>
      </c>
      <c r="I31" s="11">
        <f t="shared" si="3"/>
        <v>-1914932400</v>
      </c>
      <c r="J31" s="53">
        <f t="shared" si="4"/>
        <v>0</v>
      </c>
      <c r="K31" s="53">
        <f t="shared" si="5"/>
        <v>-1914932400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634</v>
      </c>
      <c r="H32" s="36">
        <f t="shared" si="2"/>
        <v>0</v>
      </c>
      <c r="I32" s="11">
        <f t="shared" si="3"/>
        <v>-1905740600</v>
      </c>
      <c r="J32" s="53">
        <f t="shared" si="4"/>
        <v>0</v>
      </c>
      <c r="K32" s="53">
        <f t="shared" si="5"/>
        <v>-1905740600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633</v>
      </c>
      <c r="H33" s="36">
        <f t="shared" si="2"/>
        <v>0</v>
      </c>
      <c r="I33" s="11">
        <f t="shared" si="3"/>
        <v>-566851500</v>
      </c>
      <c r="J33" s="53">
        <f t="shared" si="4"/>
        <v>0</v>
      </c>
      <c r="K33" s="53">
        <f t="shared" si="5"/>
        <v>-566851500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633</v>
      </c>
      <c r="H34" s="36">
        <f t="shared" si="2"/>
        <v>0</v>
      </c>
      <c r="I34" s="11">
        <f t="shared" si="3"/>
        <v>0</v>
      </c>
      <c r="J34" s="53">
        <f t="shared" si="4"/>
        <v>633000000</v>
      </c>
      <c r="K34" s="53">
        <f t="shared" si="5"/>
        <v>-633000000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624</v>
      </c>
      <c r="H35" s="36">
        <f t="shared" si="2"/>
        <v>1</v>
      </c>
      <c r="I35" s="11">
        <f t="shared" si="3"/>
        <v>32690056</v>
      </c>
      <c r="J35" s="53">
        <f t="shared" si="4"/>
        <v>-13496049</v>
      </c>
      <c r="K35" s="53">
        <f t="shared" si="5"/>
        <v>46186105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624</v>
      </c>
      <c r="H36" s="36">
        <f t="shared" si="2"/>
        <v>0</v>
      </c>
      <c r="I36" s="11">
        <f t="shared" si="3"/>
        <v>0</v>
      </c>
      <c r="J36" s="53">
        <f t="shared" si="4"/>
        <v>13517712</v>
      </c>
      <c r="K36" s="53">
        <f t="shared" si="5"/>
        <v>-13517712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614</v>
      </c>
      <c r="H37" s="36">
        <f t="shared" si="2"/>
        <v>0</v>
      </c>
      <c r="I37" s="11">
        <f t="shared" si="3"/>
        <v>-33770000</v>
      </c>
      <c r="J37" s="53">
        <f t="shared" si="4"/>
        <v>0</v>
      </c>
      <c r="K37" s="53">
        <f t="shared" si="5"/>
        <v>-33770000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613</v>
      </c>
      <c r="H38" s="36">
        <f t="shared" si="2"/>
        <v>1</v>
      </c>
      <c r="I38" s="11">
        <f t="shared" si="3"/>
        <v>1836000000</v>
      </c>
      <c r="J38" s="53">
        <f t="shared" si="4"/>
        <v>1836000000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612</v>
      </c>
      <c r="H39" s="36">
        <f t="shared" si="2"/>
        <v>1</v>
      </c>
      <c r="I39" s="11">
        <f t="shared" si="3"/>
        <v>1527500000</v>
      </c>
      <c r="J39" s="53">
        <f t="shared" si="4"/>
        <v>1527500000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612</v>
      </c>
      <c r="H40" s="36">
        <f t="shared" si="2"/>
        <v>0</v>
      </c>
      <c r="I40" s="11">
        <f t="shared" si="3"/>
        <v>-30600000</v>
      </c>
      <c r="J40" s="53">
        <f t="shared" si="4"/>
        <v>0</v>
      </c>
      <c r="K40" s="53">
        <f t="shared" si="5"/>
        <v>-30600000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612</v>
      </c>
      <c r="H41" s="36">
        <f t="shared" si="2"/>
        <v>1</v>
      </c>
      <c r="I41" s="11">
        <f t="shared" si="3"/>
        <v>1833000000</v>
      </c>
      <c r="J41" s="53">
        <f t="shared" si="4"/>
        <v>0</v>
      </c>
      <c r="K41" s="53">
        <f t="shared" si="5"/>
        <v>1833000000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609</v>
      </c>
      <c r="H42" s="36">
        <f t="shared" si="2"/>
        <v>0</v>
      </c>
      <c r="I42" s="11">
        <f t="shared" si="3"/>
        <v>-54322800</v>
      </c>
      <c r="J42" s="53">
        <f t="shared" si="4"/>
        <v>0</v>
      </c>
      <c r="K42" s="53">
        <f t="shared" si="5"/>
        <v>-54322800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605</v>
      </c>
      <c r="H43" s="36">
        <f t="shared" si="2"/>
        <v>0</v>
      </c>
      <c r="I43" s="11">
        <f t="shared" si="3"/>
        <v>-121000000</v>
      </c>
      <c r="J43" s="53">
        <f t="shared" si="4"/>
        <v>0</v>
      </c>
      <c r="K43" s="53">
        <f t="shared" si="5"/>
        <v>-121000000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603</v>
      </c>
      <c r="H44" s="36">
        <f t="shared" si="2"/>
        <v>0</v>
      </c>
      <c r="I44" s="11">
        <f t="shared" si="3"/>
        <v>-120600000</v>
      </c>
      <c r="J44" s="53">
        <f t="shared" si="4"/>
        <v>0</v>
      </c>
      <c r="K44" s="53">
        <f t="shared" si="5"/>
        <v>-120600000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603</v>
      </c>
      <c r="H45" s="36">
        <f t="shared" si="2"/>
        <v>0</v>
      </c>
      <c r="I45" s="11">
        <f t="shared" si="3"/>
        <v>-337680000</v>
      </c>
      <c r="J45" s="53">
        <f t="shared" si="4"/>
        <v>0</v>
      </c>
      <c r="K45" s="53">
        <f t="shared" si="5"/>
        <v>-337680000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599</v>
      </c>
      <c r="H46" s="36">
        <f t="shared" si="2"/>
        <v>0</v>
      </c>
      <c r="I46" s="11">
        <f t="shared" si="3"/>
        <v>-422594500</v>
      </c>
      <c r="J46" s="53">
        <f t="shared" si="4"/>
        <v>0</v>
      </c>
      <c r="K46" s="53">
        <f t="shared" si="5"/>
        <v>-422594500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593</v>
      </c>
      <c r="H47" s="36">
        <f t="shared" si="2"/>
        <v>1</v>
      </c>
      <c r="I47" s="11">
        <f t="shared" si="3"/>
        <v>24392768</v>
      </c>
      <c r="J47" s="53">
        <f t="shared" si="4"/>
        <v>3974096</v>
      </c>
      <c r="K47" s="53">
        <f t="shared" si="5"/>
        <v>20418672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593</v>
      </c>
      <c r="H48" s="36">
        <f t="shared" si="2"/>
        <v>1</v>
      </c>
      <c r="I48" s="11">
        <f t="shared" si="3"/>
        <v>1009182400</v>
      </c>
      <c r="J48" s="53">
        <f t="shared" si="4"/>
        <v>0</v>
      </c>
      <c r="K48" s="53">
        <f t="shared" si="5"/>
        <v>1009182400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584</v>
      </c>
      <c r="H49" s="36">
        <f t="shared" si="2"/>
        <v>0</v>
      </c>
      <c r="I49" s="11">
        <f t="shared" si="3"/>
        <v>-90520000</v>
      </c>
      <c r="J49" s="53">
        <f t="shared" si="4"/>
        <v>0</v>
      </c>
      <c r="K49" s="53">
        <f t="shared" si="5"/>
        <v>-90520000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584</v>
      </c>
      <c r="H50" s="36">
        <f t="shared" si="2"/>
        <v>0</v>
      </c>
      <c r="I50" s="11">
        <f t="shared" si="3"/>
        <v>-80592000</v>
      </c>
      <c r="J50" s="53">
        <f t="shared" si="4"/>
        <v>0</v>
      </c>
      <c r="K50" s="53">
        <f t="shared" si="5"/>
        <v>-80592000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584</v>
      </c>
      <c r="H51" s="36">
        <f t="shared" si="2"/>
        <v>0</v>
      </c>
      <c r="I51" s="11">
        <f t="shared" si="3"/>
        <v>-432160000</v>
      </c>
      <c r="J51" s="53">
        <f t="shared" si="4"/>
        <v>0</v>
      </c>
      <c r="K51" s="53">
        <f t="shared" si="5"/>
        <v>-432160000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584</v>
      </c>
      <c r="H52" s="36">
        <f t="shared" si="2"/>
        <v>0</v>
      </c>
      <c r="I52" s="11">
        <f t="shared" si="3"/>
        <v>-116800000</v>
      </c>
      <c r="J52" s="53">
        <f t="shared" si="4"/>
        <v>0</v>
      </c>
      <c r="K52" s="53">
        <f t="shared" si="5"/>
        <v>-116800000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583</v>
      </c>
      <c r="H53" s="36">
        <f t="shared" si="2"/>
        <v>0</v>
      </c>
      <c r="I53" s="11">
        <f t="shared" si="3"/>
        <v>-615065000</v>
      </c>
      <c r="J53" s="53">
        <f t="shared" si="4"/>
        <v>0</v>
      </c>
      <c r="K53" s="53">
        <f t="shared" si="5"/>
        <v>-615065000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583</v>
      </c>
      <c r="H54" s="36">
        <f t="shared" si="2"/>
        <v>0</v>
      </c>
      <c r="I54" s="11">
        <f t="shared" si="3"/>
        <v>-116600000</v>
      </c>
      <c r="J54" s="53">
        <f t="shared" si="4"/>
        <v>0</v>
      </c>
      <c r="K54" s="53">
        <f t="shared" si="5"/>
        <v>-116600000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583</v>
      </c>
      <c r="H55" s="36">
        <f t="shared" si="2"/>
        <v>0</v>
      </c>
      <c r="I55" s="11">
        <f t="shared" si="3"/>
        <v>-583291500</v>
      </c>
      <c r="J55" s="53">
        <f t="shared" si="4"/>
        <v>0</v>
      </c>
      <c r="K55" s="53">
        <f t="shared" si="5"/>
        <v>-583291500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583</v>
      </c>
      <c r="H56" s="36">
        <f t="shared" si="2"/>
        <v>0</v>
      </c>
      <c r="I56" s="11">
        <f t="shared" si="3"/>
        <v>-22154000</v>
      </c>
      <c r="J56" s="53">
        <f t="shared" si="4"/>
        <v>0</v>
      </c>
      <c r="K56" s="53">
        <f t="shared" si="5"/>
        <v>-22154000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583</v>
      </c>
      <c r="H57" s="36">
        <f t="shared" si="2"/>
        <v>0</v>
      </c>
      <c r="I57" s="11">
        <f t="shared" si="3"/>
        <v>-61215000</v>
      </c>
      <c r="J57" s="53">
        <f t="shared" si="4"/>
        <v>0</v>
      </c>
      <c r="K57" s="53">
        <f t="shared" si="5"/>
        <v>-61215000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583</v>
      </c>
      <c r="H58" s="36">
        <f t="shared" si="2"/>
        <v>0</v>
      </c>
      <c r="I58" s="11">
        <f t="shared" si="3"/>
        <v>-34980000</v>
      </c>
      <c r="J58" s="53">
        <f t="shared" si="4"/>
        <v>0</v>
      </c>
      <c r="K58" s="53">
        <f t="shared" si="5"/>
        <v>-34980000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580</v>
      </c>
      <c r="H59" s="36">
        <f t="shared" si="2"/>
        <v>1</v>
      </c>
      <c r="I59" s="11">
        <f t="shared" si="3"/>
        <v>579000000</v>
      </c>
      <c r="J59" s="53">
        <f t="shared" si="4"/>
        <v>579000000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579</v>
      </c>
      <c r="H60" s="36">
        <f t="shared" si="2"/>
        <v>1</v>
      </c>
      <c r="I60" s="11">
        <f t="shared" si="3"/>
        <v>2023000000</v>
      </c>
      <c r="J60" s="53">
        <f t="shared" si="4"/>
        <v>2023000000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577</v>
      </c>
      <c r="H61" s="36">
        <f t="shared" si="2"/>
        <v>1</v>
      </c>
      <c r="I61" s="11">
        <f t="shared" si="3"/>
        <v>576000000</v>
      </c>
      <c r="J61" s="53">
        <f t="shared" si="4"/>
        <v>576000000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577</v>
      </c>
      <c r="H62" s="36">
        <f t="shared" si="2"/>
        <v>1</v>
      </c>
      <c r="I62" s="11">
        <f t="shared" si="3"/>
        <v>1728000000</v>
      </c>
      <c r="J62" s="53">
        <f t="shared" si="4"/>
        <v>1728000000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575</v>
      </c>
      <c r="H63" s="36">
        <f t="shared" si="2"/>
        <v>0</v>
      </c>
      <c r="I63" s="11">
        <f t="shared" si="3"/>
        <v>-115000000</v>
      </c>
      <c r="J63" s="53">
        <f t="shared" si="4"/>
        <v>0</v>
      </c>
      <c r="K63" s="53">
        <f t="shared" si="5"/>
        <v>-115000000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570</v>
      </c>
      <c r="H64" s="36">
        <f t="shared" si="2"/>
        <v>0</v>
      </c>
      <c r="I64" s="11">
        <f t="shared" si="3"/>
        <v>-28500000</v>
      </c>
      <c r="J64" s="53">
        <f t="shared" si="4"/>
        <v>0</v>
      </c>
      <c r="K64" s="53">
        <f t="shared" si="5"/>
        <v>-28500000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566</v>
      </c>
      <c r="H65" s="36">
        <f t="shared" si="2"/>
        <v>0</v>
      </c>
      <c r="I65" s="11">
        <f t="shared" si="3"/>
        <v>-113200000</v>
      </c>
      <c r="J65" s="53">
        <f t="shared" si="4"/>
        <v>0</v>
      </c>
      <c r="K65" s="53">
        <f t="shared" si="5"/>
        <v>-113200000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563</v>
      </c>
      <c r="H66" s="36">
        <f t="shared" si="2"/>
        <v>0</v>
      </c>
      <c r="I66" s="11">
        <f t="shared" si="3"/>
        <v>-95710000</v>
      </c>
      <c r="J66" s="53">
        <f t="shared" si="4"/>
        <v>0</v>
      </c>
      <c r="K66" s="53">
        <f t="shared" si="5"/>
        <v>-95710000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562</v>
      </c>
      <c r="H67" s="36">
        <f t="shared" ref="H67:H131" si="8">IF(B67&gt;0,1,0)</f>
        <v>1</v>
      </c>
      <c r="I67" s="11">
        <f t="shared" ref="I67:I119" si="9">B67*(G67-H67)</f>
        <v>51233325</v>
      </c>
      <c r="J67" s="53">
        <f t="shared" ref="J67:J131" si="10">C67*(G67-H67)</f>
        <v>36870603</v>
      </c>
      <c r="K67" s="53">
        <f t="shared" ref="K67:K131" si="11">D67*(G67-H67)</f>
        <v>14362722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544</v>
      </c>
      <c r="H68" s="36">
        <f t="shared" si="8"/>
        <v>0</v>
      </c>
      <c r="I68" s="11">
        <f t="shared" si="9"/>
        <v>-78880000</v>
      </c>
      <c r="J68" s="53">
        <f t="shared" si="10"/>
        <v>0</v>
      </c>
      <c r="K68" s="53">
        <f t="shared" si="11"/>
        <v>-78880000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537</v>
      </c>
      <c r="H69" s="36">
        <f t="shared" si="8"/>
        <v>1</v>
      </c>
      <c r="I69" s="11">
        <f t="shared" si="9"/>
        <v>525280000</v>
      </c>
      <c r="J69" s="53">
        <f t="shared" si="10"/>
        <v>0</v>
      </c>
      <c r="K69" s="53">
        <f t="shared" si="11"/>
        <v>525280000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534</v>
      </c>
      <c r="H70" s="36">
        <f t="shared" si="8"/>
        <v>0</v>
      </c>
      <c r="I70" s="11">
        <f t="shared" si="9"/>
        <v>-24564000</v>
      </c>
      <c r="J70" s="53">
        <f t="shared" si="10"/>
        <v>0</v>
      </c>
      <c r="K70" s="53">
        <f t="shared" si="11"/>
        <v>-24564000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532</v>
      </c>
      <c r="H71" s="36">
        <f t="shared" si="8"/>
        <v>1</v>
      </c>
      <c r="I71" s="11">
        <f t="shared" si="9"/>
        <v>61244478</v>
      </c>
      <c r="J71" s="53">
        <f t="shared" si="10"/>
        <v>55124172</v>
      </c>
      <c r="K71" s="53">
        <f t="shared" si="11"/>
        <v>6120306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531</v>
      </c>
      <c r="H72" s="36">
        <f t="shared" si="8"/>
        <v>0</v>
      </c>
      <c r="I72" s="11">
        <f t="shared" si="9"/>
        <v>-80695539</v>
      </c>
      <c r="J72" s="53">
        <f t="shared" si="10"/>
        <v>0</v>
      </c>
      <c r="K72" s="53">
        <f t="shared" si="11"/>
        <v>-80695539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530</v>
      </c>
      <c r="H73" s="36">
        <f t="shared" si="8"/>
        <v>0</v>
      </c>
      <c r="I73" s="11">
        <f t="shared" si="9"/>
        <v>-426915000</v>
      </c>
      <c r="J73" s="53">
        <f t="shared" si="10"/>
        <v>0</v>
      </c>
      <c r="K73" s="53">
        <f t="shared" si="11"/>
        <v>-426915000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523</v>
      </c>
      <c r="H74" s="36">
        <f t="shared" si="8"/>
        <v>1</v>
      </c>
      <c r="I74" s="11">
        <f t="shared" si="9"/>
        <v>3651390000</v>
      </c>
      <c r="J74" s="53">
        <f t="shared" si="10"/>
        <v>0</v>
      </c>
      <c r="K74" s="53">
        <f t="shared" si="11"/>
        <v>3651390000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522</v>
      </c>
      <c r="H75" s="36">
        <f t="shared" si="8"/>
        <v>1</v>
      </c>
      <c r="I75" s="11">
        <f t="shared" si="9"/>
        <v>1563000000</v>
      </c>
      <c r="J75" s="53">
        <f t="shared" si="10"/>
        <v>0</v>
      </c>
      <c r="K75" s="53">
        <f t="shared" si="11"/>
        <v>1563000000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520</v>
      </c>
      <c r="H76" s="36">
        <f t="shared" si="8"/>
        <v>1</v>
      </c>
      <c r="I76" s="11">
        <f t="shared" si="9"/>
        <v>1557000000</v>
      </c>
      <c r="J76" s="53">
        <f t="shared" si="10"/>
        <v>0</v>
      </c>
      <c r="K76" s="53">
        <f t="shared" si="11"/>
        <v>1557000000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519</v>
      </c>
      <c r="H77" s="36">
        <f t="shared" si="8"/>
        <v>1</v>
      </c>
      <c r="I77" s="11">
        <f t="shared" si="9"/>
        <v>1554000000</v>
      </c>
      <c r="J77" s="53">
        <f t="shared" si="10"/>
        <v>0</v>
      </c>
      <c r="K77" s="53">
        <f t="shared" si="11"/>
        <v>1554000000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518</v>
      </c>
      <c r="H78" s="36">
        <f t="shared" si="8"/>
        <v>0</v>
      </c>
      <c r="I78" s="11">
        <f t="shared" si="9"/>
        <v>-1657600000</v>
      </c>
      <c r="J78" s="53">
        <f t="shared" si="10"/>
        <v>-1657600000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517</v>
      </c>
      <c r="H79" s="36">
        <f t="shared" si="8"/>
        <v>0</v>
      </c>
      <c r="I79" s="11">
        <f t="shared" si="9"/>
        <v>-413600000</v>
      </c>
      <c r="J79" s="53">
        <f t="shared" si="10"/>
        <v>-413600000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516</v>
      </c>
      <c r="H80" s="36">
        <f t="shared" si="8"/>
        <v>0</v>
      </c>
      <c r="I80" s="11">
        <f t="shared" si="9"/>
        <v>-24970788</v>
      </c>
      <c r="J80" s="53">
        <f t="shared" si="10"/>
        <v>0</v>
      </c>
      <c r="K80" s="53">
        <f t="shared" si="11"/>
        <v>-24970788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515</v>
      </c>
      <c r="H81" s="36">
        <f t="shared" si="8"/>
        <v>0</v>
      </c>
      <c r="I81" s="11">
        <f t="shared" si="9"/>
        <v>-72100000</v>
      </c>
      <c r="J81" s="53">
        <f t="shared" si="10"/>
        <v>0</v>
      </c>
      <c r="K81" s="53">
        <f t="shared" si="11"/>
        <v>-72100000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514</v>
      </c>
      <c r="H82" s="36">
        <f t="shared" si="8"/>
        <v>0</v>
      </c>
      <c r="I82" s="11">
        <f t="shared" si="9"/>
        <v>-128500000</v>
      </c>
      <c r="J82" s="53">
        <f t="shared" si="10"/>
        <v>0</v>
      </c>
      <c r="K82" s="53">
        <f t="shared" si="11"/>
        <v>-128500000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513</v>
      </c>
      <c r="H83" s="36">
        <f t="shared" si="8"/>
        <v>0</v>
      </c>
      <c r="I83" s="11">
        <f t="shared" si="9"/>
        <v>-102600000</v>
      </c>
      <c r="J83" s="53">
        <f t="shared" si="10"/>
        <v>0</v>
      </c>
      <c r="K83" s="53">
        <f t="shared" si="11"/>
        <v>-102600000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510</v>
      </c>
      <c r="H84" s="36">
        <f t="shared" si="8"/>
        <v>1</v>
      </c>
      <c r="I84" s="11">
        <f t="shared" si="9"/>
        <v>832316800</v>
      </c>
      <c r="J84" s="53">
        <f t="shared" si="10"/>
        <v>0</v>
      </c>
      <c r="K84" s="53">
        <f t="shared" si="11"/>
        <v>832316800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506</v>
      </c>
      <c r="H85" s="36">
        <f t="shared" si="8"/>
        <v>1</v>
      </c>
      <c r="I85" s="11">
        <f t="shared" si="9"/>
        <v>1262500000</v>
      </c>
      <c r="J85" s="53">
        <f t="shared" si="10"/>
        <v>0</v>
      </c>
      <c r="K85" s="53">
        <f t="shared" si="11"/>
        <v>1262500000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502</v>
      </c>
      <c r="H86" s="36">
        <f t="shared" si="8"/>
        <v>1</v>
      </c>
      <c r="I86" s="11">
        <f t="shared" si="9"/>
        <v>93336300</v>
      </c>
      <c r="J86" s="53">
        <f t="shared" si="10"/>
        <v>42559950</v>
      </c>
      <c r="K86" s="53">
        <f t="shared" si="11"/>
        <v>50776350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499</v>
      </c>
      <c r="H87" s="36">
        <f t="shared" si="8"/>
        <v>0</v>
      </c>
      <c r="I87" s="11">
        <f t="shared" si="9"/>
        <v>-99800000</v>
      </c>
      <c r="J87" s="53">
        <f t="shared" si="10"/>
        <v>0</v>
      </c>
      <c r="K87" s="53">
        <f t="shared" si="11"/>
        <v>-99800000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498</v>
      </c>
      <c r="H88" s="36">
        <f t="shared" si="8"/>
        <v>0</v>
      </c>
      <c r="I88" s="11">
        <f t="shared" si="9"/>
        <v>-58764000</v>
      </c>
      <c r="J88" s="53">
        <f t="shared" si="10"/>
        <v>-34362000</v>
      </c>
      <c r="K88" s="53">
        <f t="shared" si="11"/>
        <v>-24402000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490</v>
      </c>
      <c r="H89" s="36">
        <f t="shared" si="8"/>
        <v>0</v>
      </c>
      <c r="I89" s="11">
        <f t="shared" si="9"/>
        <v>-1568441000</v>
      </c>
      <c r="J89" s="53">
        <f t="shared" si="10"/>
        <v>0</v>
      </c>
      <c r="K89" s="53">
        <f t="shared" si="11"/>
        <v>-1568441000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489</v>
      </c>
      <c r="H90" s="36">
        <f t="shared" si="8"/>
        <v>0</v>
      </c>
      <c r="I90" s="11">
        <f t="shared" si="9"/>
        <v>-1565240100</v>
      </c>
      <c r="J90" s="53">
        <f t="shared" si="10"/>
        <v>0</v>
      </c>
      <c r="K90" s="53">
        <f t="shared" si="11"/>
        <v>-1565240100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488</v>
      </c>
      <c r="H91" s="36">
        <f t="shared" si="8"/>
        <v>0</v>
      </c>
      <c r="I91" s="11">
        <f t="shared" si="9"/>
        <v>-1562039200</v>
      </c>
      <c r="J91" s="53">
        <f t="shared" si="10"/>
        <v>0</v>
      </c>
      <c r="K91" s="53">
        <f t="shared" si="11"/>
        <v>-1562039200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487</v>
      </c>
      <c r="H92" s="36">
        <f t="shared" si="8"/>
        <v>0</v>
      </c>
      <c r="I92" s="11">
        <f t="shared" si="9"/>
        <v>-1558838300</v>
      </c>
      <c r="J92" s="53">
        <f t="shared" si="10"/>
        <v>0</v>
      </c>
      <c r="K92" s="53">
        <f t="shared" si="11"/>
        <v>-1558838300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486</v>
      </c>
      <c r="H93" s="36">
        <f t="shared" si="8"/>
        <v>0</v>
      </c>
      <c r="I93" s="11">
        <f t="shared" si="9"/>
        <v>-1555637400</v>
      </c>
      <c r="J93" s="53">
        <f t="shared" si="10"/>
        <v>0</v>
      </c>
      <c r="K93" s="53">
        <f t="shared" si="11"/>
        <v>-1555637400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485</v>
      </c>
      <c r="H94" s="36">
        <f t="shared" si="8"/>
        <v>0</v>
      </c>
      <c r="I94" s="11">
        <f t="shared" si="9"/>
        <v>-1552436500</v>
      </c>
      <c r="J94" s="53">
        <f t="shared" si="10"/>
        <v>0</v>
      </c>
      <c r="K94" s="53">
        <f t="shared" si="11"/>
        <v>-1552436500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483</v>
      </c>
      <c r="H95" s="36">
        <f t="shared" si="8"/>
        <v>0</v>
      </c>
      <c r="I95" s="11">
        <f t="shared" si="9"/>
        <v>-577955868</v>
      </c>
      <c r="J95" s="53">
        <f t="shared" si="10"/>
        <v>0</v>
      </c>
      <c r="K95" s="53">
        <f t="shared" si="11"/>
        <v>-577955868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473</v>
      </c>
      <c r="H96" s="36">
        <f t="shared" si="8"/>
        <v>0</v>
      </c>
      <c r="I96" s="11">
        <f t="shared" si="9"/>
        <v>-94600000</v>
      </c>
      <c r="J96" s="53">
        <f t="shared" si="10"/>
        <v>0</v>
      </c>
      <c r="K96" s="53">
        <f t="shared" si="11"/>
        <v>-94600000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472</v>
      </c>
      <c r="H97" s="36">
        <f t="shared" si="8"/>
        <v>1</v>
      </c>
      <c r="I97" s="11">
        <f t="shared" si="9"/>
        <v>75151818</v>
      </c>
      <c r="J97" s="53">
        <f t="shared" si="10"/>
        <v>32464146</v>
      </c>
      <c r="K97" s="53">
        <f t="shared" si="11"/>
        <v>42687672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467</v>
      </c>
      <c r="H98" s="36">
        <f t="shared" si="8"/>
        <v>1</v>
      </c>
      <c r="I98" s="11">
        <f t="shared" si="9"/>
        <v>53295488</v>
      </c>
      <c r="J98" s="53">
        <f t="shared" si="10"/>
        <v>0</v>
      </c>
      <c r="K98" s="53">
        <f t="shared" si="11"/>
        <v>53295488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464</v>
      </c>
      <c r="H99" s="36">
        <f t="shared" si="8"/>
        <v>0</v>
      </c>
      <c r="I99" s="11">
        <f t="shared" si="9"/>
        <v>-614800000</v>
      </c>
      <c r="J99" s="53">
        <f t="shared" si="10"/>
        <v>0</v>
      </c>
      <c r="K99" s="53">
        <f t="shared" si="11"/>
        <v>-614800000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459</v>
      </c>
      <c r="H100" s="36">
        <f t="shared" si="8"/>
        <v>1</v>
      </c>
      <c r="I100" s="11">
        <f t="shared" si="9"/>
        <v>606850000</v>
      </c>
      <c r="J100" s="53">
        <f t="shared" si="10"/>
        <v>0</v>
      </c>
      <c r="K100" s="53">
        <f t="shared" si="11"/>
        <v>606850000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442</v>
      </c>
      <c r="H101" s="36">
        <f t="shared" si="8"/>
        <v>1</v>
      </c>
      <c r="I101" s="11">
        <f t="shared" si="9"/>
        <v>29478645</v>
      </c>
      <c r="J101" s="53">
        <f t="shared" si="10"/>
        <v>29478645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439</v>
      </c>
      <c r="H102" s="36">
        <f t="shared" si="8"/>
        <v>1</v>
      </c>
      <c r="I102" s="11">
        <f t="shared" si="9"/>
        <v>1314000000</v>
      </c>
      <c r="J102" s="53">
        <f t="shared" si="10"/>
        <v>0</v>
      </c>
      <c r="K102" s="53">
        <f t="shared" si="11"/>
        <v>1314000000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432</v>
      </c>
      <c r="H103" s="36">
        <f t="shared" si="8"/>
        <v>0</v>
      </c>
      <c r="I103" s="11">
        <f t="shared" si="9"/>
        <v>-432000000</v>
      </c>
      <c r="J103" s="53">
        <f t="shared" si="10"/>
        <v>-432000000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422</v>
      </c>
      <c r="H104" s="36">
        <f t="shared" si="8"/>
        <v>1</v>
      </c>
      <c r="I104" s="11">
        <f t="shared" si="9"/>
        <v>1263000000</v>
      </c>
      <c r="J104" s="53">
        <f t="shared" si="10"/>
        <v>1263000000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421</v>
      </c>
      <c r="H105" s="36">
        <f t="shared" si="8"/>
        <v>1</v>
      </c>
      <c r="I105" s="11">
        <f t="shared" si="9"/>
        <v>470400000</v>
      </c>
      <c r="J105" s="53">
        <f t="shared" si="10"/>
        <v>470400000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421</v>
      </c>
      <c r="H106" s="36">
        <f t="shared" si="8"/>
        <v>0</v>
      </c>
      <c r="I106" s="11">
        <f t="shared" si="9"/>
        <v>-1263000000</v>
      </c>
      <c r="J106" s="53">
        <f t="shared" si="10"/>
        <v>0</v>
      </c>
      <c r="K106" s="53">
        <f t="shared" si="11"/>
        <v>-1263000000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412</v>
      </c>
      <c r="H107" s="36">
        <f t="shared" si="8"/>
        <v>1</v>
      </c>
      <c r="I107" s="11">
        <f t="shared" si="9"/>
        <v>37193034</v>
      </c>
      <c r="J107" s="53">
        <f t="shared" si="10"/>
        <v>30872265</v>
      </c>
      <c r="K107" s="53">
        <f t="shared" si="11"/>
        <v>6320769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410</v>
      </c>
      <c r="H108" s="36">
        <f t="shared" si="8"/>
        <v>0</v>
      </c>
      <c r="I108" s="11">
        <f t="shared" si="9"/>
        <v>-697287000</v>
      </c>
      <c r="J108" s="53">
        <f t="shared" si="10"/>
        <v>0</v>
      </c>
      <c r="K108" s="53">
        <f t="shared" si="11"/>
        <v>-697287000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406</v>
      </c>
      <c r="H109" s="36">
        <f t="shared" si="8"/>
        <v>0</v>
      </c>
      <c r="I109" s="11">
        <f t="shared" si="9"/>
        <v>-406203000</v>
      </c>
      <c r="J109" s="53">
        <f t="shared" si="10"/>
        <v>0</v>
      </c>
      <c r="K109" s="53">
        <f t="shared" si="11"/>
        <v>-406203000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403</v>
      </c>
      <c r="H110" s="36">
        <f t="shared" si="8"/>
        <v>1</v>
      </c>
      <c r="I110" s="11">
        <f t="shared" si="9"/>
        <v>8040000000</v>
      </c>
      <c r="J110" s="53">
        <f t="shared" si="10"/>
        <v>0</v>
      </c>
      <c r="K110" s="53">
        <f t="shared" si="11"/>
        <v>8040000000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383</v>
      </c>
      <c r="H111" s="36">
        <f t="shared" si="8"/>
        <v>1</v>
      </c>
      <c r="I111" s="11">
        <f t="shared" si="9"/>
        <v>66726996</v>
      </c>
      <c r="J111" s="53">
        <f t="shared" si="10"/>
        <v>33372666</v>
      </c>
      <c r="K111" s="53">
        <f t="shared" si="11"/>
        <v>33354330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367</v>
      </c>
      <c r="H112" s="36">
        <f t="shared" si="8"/>
        <v>0</v>
      </c>
      <c r="I112" s="11">
        <f t="shared" si="9"/>
        <v>-10422800000</v>
      </c>
      <c r="J112" s="53">
        <f t="shared" si="10"/>
        <v>0</v>
      </c>
      <c r="K112" s="53">
        <f t="shared" si="11"/>
        <v>-10422800000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352</v>
      </c>
      <c r="H113" s="36">
        <f t="shared" si="8"/>
        <v>1</v>
      </c>
      <c r="I113" s="11">
        <f t="shared" si="9"/>
        <v>57227040</v>
      </c>
      <c r="J113" s="53">
        <f t="shared" si="10"/>
        <v>43001361</v>
      </c>
      <c r="K113" s="53">
        <f t="shared" si="11"/>
        <v>14225679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352</v>
      </c>
      <c r="H114" s="36">
        <f t="shared" si="8"/>
        <v>0</v>
      </c>
      <c r="I114" s="11">
        <f t="shared" si="9"/>
        <v>-2006400</v>
      </c>
      <c r="J114" s="53">
        <f t="shared" si="10"/>
        <v>-880000</v>
      </c>
      <c r="K114" s="53">
        <f t="shared" si="11"/>
        <v>-1126400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339</v>
      </c>
      <c r="H115" s="36">
        <f t="shared" si="8"/>
        <v>0</v>
      </c>
      <c r="I115" s="11">
        <f t="shared" si="9"/>
        <v>0</v>
      </c>
      <c r="J115" s="53">
        <f t="shared" si="10"/>
        <v>169500000</v>
      </c>
      <c r="K115" s="53">
        <f t="shared" si="11"/>
        <v>-169500000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331</v>
      </c>
      <c r="H116" s="36">
        <f t="shared" si="8"/>
        <v>0</v>
      </c>
      <c r="I116" s="11">
        <f t="shared" si="9"/>
        <v>-52960000</v>
      </c>
      <c r="J116" s="53">
        <f t="shared" si="10"/>
        <v>0</v>
      </c>
      <c r="K116" s="53">
        <f t="shared" si="11"/>
        <v>-52960000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322</v>
      </c>
      <c r="H117" s="36">
        <f t="shared" si="8"/>
        <v>1</v>
      </c>
      <c r="I117" s="11">
        <f t="shared" si="9"/>
        <v>475080</v>
      </c>
      <c r="J117" s="53">
        <f t="shared" si="10"/>
        <v>34328061</v>
      </c>
      <c r="K117" s="53">
        <f t="shared" si="11"/>
        <v>-33852981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300</v>
      </c>
      <c r="H118" s="36">
        <f t="shared" si="8"/>
        <v>1</v>
      </c>
      <c r="I118" s="11">
        <f t="shared" si="9"/>
        <v>11780450500</v>
      </c>
      <c r="J118" s="53">
        <f t="shared" si="10"/>
        <v>0</v>
      </c>
      <c r="K118" s="53">
        <f t="shared" si="11"/>
        <v>11780450500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291</v>
      </c>
      <c r="H119" s="36">
        <f t="shared" si="8"/>
        <v>1</v>
      </c>
      <c r="I119" s="11">
        <f t="shared" si="9"/>
        <v>27701090</v>
      </c>
      <c r="J119" s="53">
        <f t="shared" si="10"/>
        <v>31915660</v>
      </c>
      <c r="K119" s="53">
        <f t="shared" si="11"/>
        <v>-4214570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287</v>
      </c>
      <c r="H120" s="11">
        <f t="shared" si="8"/>
        <v>1</v>
      </c>
      <c r="I120" s="11">
        <f t="shared" ref="I120:I155" si="13">B120*(G120-H120)</f>
        <v>572000000</v>
      </c>
      <c r="J120" s="11">
        <f t="shared" si="10"/>
        <v>0</v>
      </c>
      <c r="K120" s="11">
        <f t="shared" si="11"/>
        <v>572000000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261</v>
      </c>
      <c r="H121" s="11">
        <f t="shared" si="8"/>
        <v>1</v>
      </c>
      <c r="I121" s="11">
        <f t="shared" si="13"/>
        <v>676000000</v>
      </c>
      <c r="J121" s="11">
        <f t="shared" si="10"/>
        <v>0</v>
      </c>
      <c r="K121" s="11">
        <f t="shared" si="11"/>
        <v>676000000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260</v>
      </c>
      <c r="H122" s="11">
        <f t="shared" si="8"/>
        <v>1</v>
      </c>
      <c r="I122" s="11">
        <f t="shared" si="13"/>
        <v>99598709</v>
      </c>
      <c r="J122" s="11">
        <f t="shared" si="10"/>
        <v>28725172</v>
      </c>
      <c r="K122" s="11">
        <f t="shared" si="11"/>
        <v>70873537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259</v>
      </c>
      <c r="H123" s="11">
        <f t="shared" si="8"/>
        <v>0</v>
      </c>
      <c r="I123" s="11">
        <f t="shared" si="13"/>
        <v>0</v>
      </c>
      <c r="J123" s="11">
        <f t="shared" si="10"/>
        <v>207200000</v>
      </c>
      <c r="K123" s="11">
        <f t="shared" si="11"/>
        <v>-207200000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245</v>
      </c>
      <c r="H124" s="11">
        <f t="shared" si="8"/>
        <v>0</v>
      </c>
      <c r="I124" s="11">
        <f t="shared" si="13"/>
        <v>-735000000</v>
      </c>
      <c r="J124" s="11">
        <f t="shared" si="10"/>
        <v>0</v>
      </c>
      <c r="K124" s="11">
        <f t="shared" si="11"/>
        <v>-735000000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230</v>
      </c>
      <c r="H125" s="11">
        <f t="shared" si="8"/>
        <v>1</v>
      </c>
      <c r="I125" s="11">
        <f t="shared" si="13"/>
        <v>91762590</v>
      </c>
      <c r="J125" s="11">
        <f t="shared" si="10"/>
        <v>27222375</v>
      </c>
      <c r="K125" s="11">
        <f t="shared" si="11"/>
        <v>64540215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230</v>
      </c>
      <c r="H126" s="11">
        <f t="shared" si="8"/>
        <v>1</v>
      </c>
      <c r="I126" s="11">
        <f t="shared" si="13"/>
        <v>9618000000</v>
      </c>
      <c r="J126" s="11">
        <f t="shared" si="10"/>
        <v>0</v>
      </c>
      <c r="K126" s="11">
        <f t="shared" si="11"/>
        <v>9618000000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205</v>
      </c>
      <c r="H127" s="11">
        <f t="shared" si="8"/>
        <v>0</v>
      </c>
      <c r="I127" s="11">
        <f t="shared" si="13"/>
        <v>-1025000</v>
      </c>
      <c r="J127" s="11">
        <f t="shared" si="10"/>
        <v>0</v>
      </c>
      <c r="K127" s="11">
        <f t="shared" si="11"/>
        <v>-1025000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199</v>
      </c>
      <c r="H128" s="11">
        <f t="shared" si="8"/>
        <v>1</v>
      </c>
      <c r="I128" s="11">
        <f t="shared" si="13"/>
        <v>152732052</v>
      </c>
      <c r="J128" s="11">
        <f t="shared" si="10"/>
        <v>23898006</v>
      </c>
      <c r="K128" s="11">
        <f t="shared" si="11"/>
        <v>128834046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196</v>
      </c>
      <c r="H129" s="11">
        <f t="shared" si="8"/>
        <v>1</v>
      </c>
      <c r="I129" s="11">
        <f t="shared" si="13"/>
        <v>487500000</v>
      </c>
      <c r="J129" s="11">
        <f t="shared" si="10"/>
        <v>0</v>
      </c>
      <c r="K129" s="11">
        <f t="shared" si="11"/>
        <v>487500000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182</v>
      </c>
      <c r="H130" s="11">
        <f t="shared" si="8"/>
        <v>0</v>
      </c>
      <c r="I130" s="11">
        <f t="shared" si="13"/>
        <v>-182000000</v>
      </c>
      <c r="J130" s="11">
        <f t="shared" si="10"/>
        <v>-182000000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54" si="14">G132+F131</f>
        <v>177</v>
      </c>
      <c r="H131" s="11">
        <f t="shared" si="8"/>
        <v>0</v>
      </c>
      <c r="I131" s="11">
        <f t="shared" si="13"/>
        <v>-8850000000</v>
      </c>
      <c r="J131" s="11">
        <f t="shared" si="10"/>
        <v>0</v>
      </c>
      <c r="K131" s="11">
        <f t="shared" si="11"/>
        <v>-8850000000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169</v>
      </c>
      <c r="H132" s="11">
        <f t="shared" ref="H132:H155" si="15">IF(B132&gt;0,1,0)</f>
        <v>1</v>
      </c>
      <c r="I132" s="11">
        <f t="shared" si="13"/>
        <v>103200216</v>
      </c>
      <c r="J132" s="11">
        <f t="shared" ref="J132:J155" si="16">C132*(G132-H132)</f>
        <v>17803128</v>
      </c>
      <c r="K132" s="11">
        <f t="shared" ref="K132:K155" si="17">D132*(G132-H132)</f>
        <v>85397088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165</v>
      </c>
      <c r="H133" s="11">
        <f t="shared" si="15"/>
        <v>0</v>
      </c>
      <c r="I133" s="11">
        <f t="shared" si="13"/>
        <v>-199765500</v>
      </c>
      <c r="J133" s="11">
        <f t="shared" si="16"/>
        <v>0</v>
      </c>
      <c r="K133" s="11">
        <f t="shared" si="17"/>
        <v>-199765500</v>
      </c>
    </row>
    <row r="134" spans="1:13" x14ac:dyDescent="0.25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156</v>
      </c>
      <c r="H134" s="11">
        <f t="shared" si="15"/>
        <v>0</v>
      </c>
      <c r="I134" s="11">
        <f t="shared" si="13"/>
        <v>-10140000</v>
      </c>
      <c r="J134" s="11">
        <f t="shared" si="16"/>
        <v>0</v>
      </c>
      <c r="K134" s="11">
        <f t="shared" si="17"/>
        <v>-10140000</v>
      </c>
    </row>
    <row r="135" spans="1:13" x14ac:dyDescent="0.25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156</v>
      </c>
      <c r="H135" s="11">
        <f t="shared" si="15"/>
        <v>0</v>
      </c>
      <c r="I135" s="11">
        <f t="shared" si="13"/>
        <v>-5038800</v>
      </c>
      <c r="J135" s="11">
        <f t="shared" si="16"/>
        <v>0</v>
      </c>
      <c r="K135" s="11">
        <f t="shared" si="17"/>
        <v>-5038800</v>
      </c>
    </row>
    <row r="136" spans="1:13" x14ac:dyDescent="0.25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148</v>
      </c>
      <c r="H136" s="11">
        <f t="shared" si="15"/>
        <v>0</v>
      </c>
      <c r="I136" s="11">
        <f t="shared" si="13"/>
        <v>-148000000</v>
      </c>
      <c r="J136" s="11">
        <f t="shared" si="16"/>
        <v>-148000000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139</v>
      </c>
      <c r="H137" s="11">
        <f t="shared" si="15"/>
        <v>1</v>
      </c>
      <c r="I137" s="11">
        <f t="shared" si="13"/>
        <v>40140474</v>
      </c>
      <c r="J137" s="11">
        <f t="shared" si="16"/>
        <v>13435542</v>
      </c>
      <c r="K137" s="11">
        <f t="shared" si="17"/>
        <v>26704932</v>
      </c>
    </row>
    <row r="138" spans="1:13" x14ac:dyDescent="0.25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122</v>
      </c>
      <c r="H138" s="11">
        <f t="shared" si="15"/>
        <v>0</v>
      </c>
      <c r="I138" s="11">
        <f t="shared" si="13"/>
        <v>-122061000</v>
      </c>
      <c r="J138" s="11">
        <f t="shared" si="16"/>
        <v>-122061000</v>
      </c>
      <c r="K138" s="11">
        <f t="shared" si="17"/>
        <v>0</v>
      </c>
    </row>
    <row r="139" spans="1:13" x14ac:dyDescent="0.25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110</v>
      </c>
      <c r="H139" s="11">
        <f t="shared" si="15"/>
        <v>1</v>
      </c>
      <c r="I139" s="11">
        <f t="shared" si="13"/>
        <v>30764160</v>
      </c>
      <c r="J139" s="11">
        <f t="shared" si="16"/>
        <v>9679963</v>
      </c>
      <c r="K139" s="11">
        <f t="shared" si="17"/>
        <v>21084197</v>
      </c>
    </row>
    <row r="140" spans="1:13" x14ac:dyDescent="0.25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107</v>
      </c>
      <c r="H140" s="11">
        <f t="shared" si="15"/>
        <v>1</v>
      </c>
      <c r="I140" s="11">
        <f t="shared" si="13"/>
        <v>159000000</v>
      </c>
      <c r="J140" s="11">
        <f t="shared" si="16"/>
        <v>0</v>
      </c>
      <c r="K140" s="11">
        <f t="shared" si="17"/>
        <v>159000000</v>
      </c>
    </row>
    <row r="141" spans="1:13" x14ac:dyDescent="0.25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94</v>
      </c>
      <c r="H141" s="11">
        <f t="shared" si="15"/>
        <v>0</v>
      </c>
      <c r="I141" s="11">
        <f t="shared" si="13"/>
        <v>0</v>
      </c>
      <c r="J141" s="11">
        <f t="shared" si="16"/>
        <v>-94000000</v>
      </c>
      <c r="K141" s="11">
        <f t="shared" si="17"/>
        <v>94000000</v>
      </c>
    </row>
    <row r="142" spans="1:13" x14ac:dyDescent="0.25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80</v>
      </c>
      <c r="H142" s="11">
        <f t="shared" si="15"/>
        <v>1</v>
      </c>
      <c r="I142" s="11">
        <f t="shared" si="13"/>
        <v>22980547</v>
      </c>
      <c r="J142" s="11">
        <f t="shared" si="16"/>
        <v>6400738</v>
      </c>
      <c r="K142" s="11">
        <f t="shared" si="17"/>
        <v>16579809</v>
      </c>
    </row>
    <row r="143" spans="1:13" x14ac:dyDescent="0.25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60</v>
      </c>
      <c r="H143" s="11">
        <f t="shared" si="15"/>
        <v>0</v>
      </c>
      <c r="I143" s="11">
        <f t="shared" si="13"/>
        <v>0</v>
      </c>
      <c r="J143" s="11">
        <f t="shared" si="16"/>
        <v>-60000000</v>
      </c>
      <c r="K143" s="11">
        <f t="shared" si="17"/>
        <v>60000000</v>
      </c>
      <c r="M143" t="s">
        <v>25</v>
      </c>
    </row>
    <row r="144" spans="1:13" x14ac:dyDescent="0.25">
      <c r="A144" s="11" t="s">
        <v>891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50</v>
      </c>
      <c r="H144" s="11">
        <f t="shared" si="15"/>
        <v>1</v>
      </c>
      <c r="I144" s="11">
        <f t="shared" si="13"/>
        <v>14447748</v>
      </c>
      <c r="J144" s="11">
        <f t="shared" si="16"/>
        <v>3658193</v>
      </c>
      <c r="K144" s="11">
        <f t="shared" si="17"/>
        <v>10789555</v>
      </c>
    </row>
    <row r="145" spans="1:11" x14ac:dyDescent="0.25">
      <c r="A145" s="11" t="s">
        <v>916</v>
      </c>
      <c r="B145" s="18">
        <v>-10000</v>
      </c>
      <c r="C145" s="18">
        <v>-5000</v>
      </c>
      <c r="D145" s="18">
        <f t="shared" si="12"/>
        <v>-5000</v>
      </c>
      <c r="E145" s="74" t="s">
        <v>922</v>
      </c>
      <c r="F145" s="11">
        <v>5</v>
      </c>
      <c r="G145" s="36">
        <f t="shared" si="14"/>
        <v>35</v>
      </c>
      <c r="H145" s="11">
        <f t="shared" si="15"/>
        <v>0</v>
      </c>
      <c r="I145" s="11">
        <f t="shared" si="13"/>
        <v>-350000</v>
      </c>
      <c r="J145" s="11">
        <f t="shared" si="16"/>
        <v>-175000</v>
      </c>
      <c r="K145" s="11">
        <f t="shared" si="17"/>
        <v>-175000</v>
      </c>
    </row>
    <row r="146" spans="1:11" x14ac:dyDescent="0.25">
      <c r="A146" s="11" t="s">
        <v>902</v>
      </c>
      <c r="B146" s="18">
        <v>-1000500</v>
      </c>
      <c r="C146" s="18">
        <v>-1000500</v>
      </c>
      <c r="D146" s="18">
        <f t="shared" si="12"/>
        <v>0</v>
      </c>
      <c r="E146" s="11" t="s">
        <v>903</v>
      </c>
      <c r="F146" s="11">
        <v>6</v>
      </c>
      <c r="G146" s="36">
        <f t="shared" si="14"/>
        <v>30</v>
      </c>
      <c r="H146" s="11">
        <f t="shared" si="15"/>
        <v>0</v>
      </c>
      <c r="I146" s="11">
        <f t="shared" si="13"/>
        <v>-30015000</v>
      </c>
      <c r="J146" s="11">
        <f t="shared" si="16"/>
        <v>-30015000</v>
      </c>
      <c r="K146" s="11">
        <f t="shared" si="17"/>
        <v>0</v>
      </c>
    </row>
    <row r="147" spans="1:11" x14ac:dyDescent="0.25">
      <c r="A147" s="11" t="s">
        <v>941</v>
      </c>
      <c r="B147" s="18">
        <v>-27000000</v>
      </c>
      <c r="C147" s="18">
        <v>0</v>
      </c>
      <c r="D147" s="18">
        <f t="shared" si="12"/>
        <v>-27000000</v>
      </c>
      <c r="E147" s="11" t="s">
        <v>1025</v>
      </c>
      <c r="F147" s="11">
        <v>3</v>
      </c>
      <c r="G147" s="36">
        <f t="shared" si="14"/>
        <v>24</v>
      </c>
      <c r="H147" s="11">
        <f t="shared" si="15"/>
        <v>0</v>
      </c>
      <c r="I147" s="11">
        <f t="shared" si="13"/>
        <v>-648000000</v>
      </c>
      <c r="J147" s="11">
        <f t="shared" si="16"/>
        <v>0</v>
      </c>
      <c r="K147" s="11">
        <f t="shared" si="17"/>
        <v>-648000000</v>
      </c>
    </row>
    <row r="148" spans="1:11" x14ac:dyDescent="0.25">
      <c r="A148" s="11" t="s">
        <v>1050</v>
      </c>
      <c r="B148" s="18">
        <v>252436</v>
      </c>
      <c r="C148" s="18">
        <v>65510</v>
      </c>
      <c r="D148" s="18">
        <f t="shared" si="12"/>
        <v>186926</v>
      </c>
      <c r="E148" s="11" t="s">
        <v>1052</v>
      </c>
      <c r="F148" s="11">
        <v>8</v>
      </c>
      <c r="G148" s="36">
        <f t="shared" si="14"/>
        <v>21</v>
      </c>
      <c r="H148" s="11">
        <f t="shared" si="15"/>
        <v>1</v>
      </c>
      <c r="I148" s="11">
        <f t="shared" si="13"/>
        <v>5048720</v>
      </c>
      <c r="J148" s="11">
        <f t="shared" si="16"/>
        <v>1310200</v>
      </c>
      <c r="K148" s="11">
        <f t="shared" si="17"/>
        <v>3738520</v>
      </c>
    </row>
    <row r="149" spans="1:11" x14ac:dyDescent="0.25">
      <c r="A149" s="11" t="s">
        <v>1089</v>
      </c>
      <c r="B149" s="18">
        <v>52400000</v>
      </c>
      <c r="C149" s="18">
        <v>0</v>
      </c>
      <c r="D149" s="18">
        <f t="shared" ref="D149:D153" si="18">B149-C149</f>
        <v>52400000</v>
      </c>
      <c r="E149" s="11" t="s">
        <v>1090</v>
      </c>
      <c r="F149" s="11">
        <v>7</v>
      </c>
      <c r="G149" s="36">
        <f t="shared" si="14"/>
        <v>13</v>
      </c>
      <c r="H149" s="11">
        <f t="shared" si="15"/>
        <v>1</v>
      </c>
      <c r="I149" s="11">
        <f t="shared" si="13"/>
        <v>628800000</v>
      </c>
      <c r="J149" s="11">
        <f t="shared" si="16"/>
        <v>0</v>
      </c>
      <c r="K149" s="11">
        <f t="shared" si="17"/>
        <v>628800000</v>
      </c>
    </row>
    <row r="150" spans="1:11" x14ac:dyDescent="0.25">
      <c r="A150" s="11" t="s">
        <v>1108</v>
      </c>
      <c r="B150" s="18">
        <v>-52000000</v>
      </c>
      <c r="C150" s="18">
        <v>0</v>
      </c>
      <c r="D150" s="18">
        <f t="shared" si="18"/>
        <v>-52000000</v>
      </c>
      <c r="E150" s="11" t="s">
        <v>1111</v>
      </c>
      <c r="F150" s="11">
        <v>5</v>
      </c>
      <c r="G150" s="36">
        <f t="shared" si="14"/>
        <v>6</v>
      </c>
      <c r="H150" s="11">
        <f t="shared" si="15"/>
        <v>0</v>
      </c>
      <c r="I150" s="11">
        <f t="shared" si="13"/>
        <v>-312000000</v>
      </c>
      <c r="J150" s="11">
        <f t="shared" si="16"/>
        <v>0</v>
      </c>
      <c r="K150" s="11">
        <f t="shared" si="17"/>
        <v>-312000000</v>
      </c>
    </row>
    <row r="151" spans="1:11" x14ac:dyDescent="0.25">
      <c r="A151" s="11" t="s">
        <v>1158</v>
      </c>
      <c r="B151" s="18">
        <v>-8000000</v>
      </c>
      <c r="C151" s="18">
        <v>-6772131</v>
      </c>
      <c r="D151" s="18">
        <f t="shared" si="18"/>
        <v>-1227869</v>
      </c>
      <c r="E151" s="11" t="s">
        <v>1144</v>
      </c>
      <c r="F151" s="11">
        <v>0</v>
      </c>
      <c r="G151" s="36">
        <f t="shared" si="14"/>
        <v>1</v>
      </c>
      <c r="H151" s="11">
        <f t="shared" si="15"/>
        <v>0</v>
      </c>
      <c r="I151" s="11">
        <f t="shared" si="13"/>
        <v>-8000000</v>
      </c>
      <c r="J151" s="11">
        <f t="shared" si="16"/>
        <v>-6772131</v>
      </c>
      <c r="K151" s="11">
        <f t="shared" si="17"/>
        <v>-1227869</v>
      </c>
    </row>
    <row r="152" spans="1:11" x14ac:dyDescent="0.25">
      <c r="A152" s="11" t="s">
        <v>1158</v>
      </c>
      <c r="B152" s="18">
        <v>-31230</v>
      </c>
      <c r="C152" s="18">
        <v>0</v>
      </c>
      <c r="D152" s="18">
        <f t="shared" si="18"/>
        <v>-31230</v>
      </c>
      <c r="E152" s="11" t="s">
        <v>1161</v>
      </c>
      <c r="F152" s="11">
        <v>1</v>
      </c>
      <c r="G152" s="36">
        <f t="shared" si="14"/>
        <v>1</v>
      </c>
      <c r="H152" s="11">
        <f t="shared" si="15"/>
        <v>0</v>
      </c>
      <c r="I152" s="11">
        <f t="shared" si="13"/>
        <v>-31230</v>
      </c>
      <c r="J152" s="11">
        <f t="shared" si="16"/>
        <v>0</v>
      </c>
      <c r="K152" s="11">
        <f t="shared" si="17"/>
        <v>-31230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4"/>
        <v>0</v>
      </c>
      <c r="H153" s="11">
        <f t="shared" si="15"/>
        <v>0</v>
      </c>
      <c r="I153" s="11">
        <f t="shared" si="13"/>
        <v>0</v>
      </c>
      <c r="J153" s="11">
        <f t="shared" si="16"/>
        <v>0</v>
      </c>
      <c r="K153" s="11">
        <f t="shared" si="17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4"/>
        <v>0</v>
      </c>
      <c r="H154" s="11">
        <f t="shared" si="15"/>
        <v>0</v>
      </c>
      <c r="I154" s="11">
        <f t="shared" si="13"/>
        <v>0</v>
      </c>
      <c r="J154" s="11">
        <f t="shared" si="16"/>
        <v>0</v>
      </c>
      <c r="K154" s="11">
        <f t="shared" si="17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ref="G155" si="19">G156+F155</f>
        <v>0</v>
      </c>
      <c r="H155" s="11">
        <f t="shared" si="15"/>
        <v>0</v>
      </c>
      <c r="I155" s="11">
        <f t="shared" si="13"/>
        <v>0</v>
      </c>
      <c r="J155" s="11">
        <f t="shared" si="16"/>
        <v>0</v>
      </c>
      <c r="K155" s="11">
        <f t="shared" si="17"/>
        <v>0</v>
      </c>
    </row>
    <row r="156" spans="1:11" x14ac:dyDescent="0.25">
      <c r="A156" s="11"/>
      <c r="B156" s="29">
        <f>SUM(B2:B155)</f>
        <v>778833</v>
      </c>
      <c r="C156" s="29">
        <f>SUM(C2:C154)</f>
        <v>779193</v>
      </c>
      <c r="D156" s="29">
        <f>SUM(D2:D154)</f>
        <v>-360</v>
      </c>
      <c r="E156" s="11"/>
      <c r="F156" s="11"/>
      <c r="G156" s="11"/>
      <c r="H156" s="11"/>
      <c r="I156" s="29">
        <f>SUM(I2:I155)</f>
        <v>18595421496</v>
      </c>
      <c r="J156" s="29">
        <f>SUM(J2:J155)</f>
        <v>6877297996</v>
      </c>
      <c r="K156" s="29">
        <f>SUM(K2:K155)</f>
        <v>11718123500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25473180.131506849</v>
      </c>
      <c r="J159" s="29">
        <f>J156/G2</f>
        <v>9420956.1589041092</v>
      </c>
      <c r="K159" s="29">
        <f>K156/G2</f>
        <v>16052223.97260274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858</v>
      </c>
      <c r="D163" s="104">
        <f>D156-D151+D152</f>
        <v>1196279</v>
      </c>
      <c r="G163" t="s">
        <v>25</v>
      </c>
      <c r="J163">
        <f>J156/I156*1448696</f>
        <v>535783.18188465631</v>
      </c>
      <c r="K163">
        <f>K156/I156*1448696</f>
        <v>912912.81811534369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770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775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828</v>
      </c>
      <c r="G31" s="9" t="s">
        <v>893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838</v>
      </c>
    </row>
    <row r="36" spans="4:17" x14ac:dyDescent="0.25">
      <c r="D36" s="42">
        <v>-10000</v>
      </c>
      <c r="E36" s="41" t="s">
        <v>848</v>
      </c>
    </row>
    <row r="37" spans="4:17" x14ac:dyDescent="0.25">
      <c r="D37" s="7">
        <v>-180000</v>
      </c>
      <c r="E37" s="41" t="s">
        <v>853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102" activePane="bottomLeft" state="frozen"/>
      <selection pane="bottomLeft" activeCell="J118" sqref="J118:J119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495</v>
      </c>
      <c r="F2" s="11">
        <f>IF(B2&gt;0,1,0)</f>
        <v>1</v>
      </c>
      <c r="G2" s="11">
        <f>B2*(E2-F2)</f>
        <v>24700000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491</v>
      </c>
      <c r="F3" s="11">
        <f t="shared" ref="F3:F38" si="1">IF(B3&gt;0,1,0)</f>
        <v>1</v>
      </c>
      <c r="G3" s="11">
        <f t="shared" ref="G3:G23" si="2">B3*(E3-F3)</f>
        <v>1470000000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490</v>
      </c>
      <c r="F4" s="11">
        <f t="shared" si="1"/>
        <v>1</v>
      </c>
      <c r="G4" s="11">
        <f t="shared" si="2"/>
        <v>1467000000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490</v>
      </c>
      <c r="F5" s="11">
        <f t="shared" si="1"/>
        <v>1</v>
      </c>
      <c r="G5" s="11">
        <f t="shared" si="2"/>
        <v>7335000000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489</v>
      </c>
      <c r="F6" s="11">
        <f t="shared" si="1"/>
        <v>1</v>
      </c>
      <c r="G6" s="11">
        <f t="shared" si="2"/>
        <v>1464000000</v>
      </c>
      <c r="K6" t="s">
        <v>288</v>
      </c>
      <c r="L6" s="34">
        <v>410023079974</v>
      </c>
      <c r="M6" s="33" t="s">
        <v>856</v>
      </c>
      <c r="N6" t="s">
        <v>1083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488</v>
      </c>
      <c r="F7" s="11">
        <f t="shared" si="1"/>
        <v>0</v>
      </c>
      <c r="G7" s="11">
        <f t="shared" si="2"/>
        <v>-1464000000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488</v>
      </c>
      <c r="F8" s="11">
        <f t="shared" si="1"/>
        <v>0</v>
      </c>
      <c r="G8" s="11">
        <f t="shared" si="2"/>
        <v>-97600000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488</v>
      </c>
      <c r="F9" s="11">
        <f t="shared" si="1"/>
        <v>1</v>
      </c>
      <c r="G9" s="11">
        <f>B9*(E9-F9)</f>
        <v>1461000000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487</v>
      </c>
      <c r="F10" s="11">
        <f t="shared" si="1"/>
        <v>1</v>
      </c>
      <c r="G10" s="11">
        <f t="shared" si="2"/>
        <v>1458000000</v>
      </c>
      <c r="K10" t="s">
        <v>1084</v>
      </c>
      <c r="L10" s="34">
        <v>410021484671</v>
      </c>
      <c r="M10" s="33" t="s">
        <v>1085</v>
      </c>
      <c r="N10" t="s">
        <v>1087</v>
      </c>
      <c r="O10" t="s">
        <v>1088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487</v>
      </c>
      <c r="F11" s="11">
        <f t="shared" si="1"/>
        <v>1</v>
      </c>
      <c r="G11" s="11">
        <f t="shared" si="2"/>
        <v>12150000000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484</v>
      </c>
      <c r="F12" s="11">
        <f t="shared" si="1"/>
        <v>1</v>
      </c>
      <c r="G12" s="11">
        <f t="shared" si="2"/>
        <v>482193390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484</v>
      </c>
      <c r="F13" s="11">
        <f t="shared" si="1"/>
        <v>1</v>
      </c>
      <c r="G13" s="11">
        <f t="shared" si="2"/>
        <v>1449000000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484</v>
      </c>
      <c r="F14" s="11">
        <f t="shared" si="1"/>
        <v>1</v>
      </c>
      <c r="G14" s="11">
        <f t="shared" si="2"/>
        <v>575299368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472</v>
      </c>
      <c r="F15" s="11">
        <f t="shared" si="1"/>
        <v>1</v>
      </c>
      <c r="G15" s="11">
        <f t="shared" si="2"/>
        <v>942000000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460</v>
      </c>
      <c r="F16" s="11">
        <f t="shared" si="1"/>
        <v>1</v>
      </c>
      <c r="G16" s="11">
        <f t="shared" si="2"/>
        <v>1377000000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459</v>
      </c>
      <c r="F17" s="11">
        <f t="shared" si="1"/>
        <v>1</v>
      </c>
      <c r="G17" s="11">
        <f t="shared" si="2"/>
        <v>1374000000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458</v>
      </c>
      <c r="F18" s="11">
        <f t="shared" si="1"/>
        <v>1</v>
      </c>
      <c r="G18" s="11">
        <f t="shared" si="2"/>
        <v>868300000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443</v>
      </c>
      <c r="F19" s="11">
        <f t="shared" si="1"/>
        <v>1</v>
      </c>
      <c r="G19" s="11">
        <f t="shared" si="2"/>
        <v>355594746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442</v>
      </c>
      <c r="F20" s="11">
        <f t="shared" si="1"/>
        <v>1</v>
      </c>
      <c r="G20" s="11">
        <f t="shared" si="2"/>
        <v>1323000000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436</v>
      </c>
      <c r="F21" s="11">
        <f t="shared" si="1"/>
        <v>1</v>
      </c>
      <c r="G21" s="11">
        <f t="shared" si="2"/>
        <v>217500000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422</v>
      </c>
      <c r="F22" s="11">
        <f t="shared" si="1"/>
        <v>0</v>
      </c>
      <c r="G22" s="11">
        <f t="shared" si="2"/>
        <v>-1266000000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414</v>
      </c>
      <c r="F23" s="11">
        <f t="shared" si="1"/>
        <v>1</v>
      </c>
      <c r="G23" s="11">
        <f t="shared" si="2"/>
        <v>1239000000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414</v>
      </c>
      <c r="F24" s="11">
        <f t="shared" si="1"/>
        <v>1</v>
      </c>
      <c r="G24" s="11">
        <f>B24*(E24-F24)</f>
        <v>260538159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412</v>
      </c>
      <c r="F25" s="11">
        <f t="shared" si="1"/>
        <v>0</v>
      </c>
      <c r="G25" s="11">
        <f t="shared" ref="G25:G30" si="3">B25*(E25-F25)</f>
        <v>-1318770800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410</v>
      </c>
      <c r="F26" s="11">
        <f t="shared" si="1"/>
        <v>0</v>
      </c>
      <c r="G26" s="11">
        <f t="shared" si="3"/>
        <v>-1230369000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408</v>
      </c>
      <c r="F27" s="11">
        <f t="shared" si="1"/>
        <v>1</v>
      </c>
      <c r="G27" s="11">
        <f t="shared" si="3"/>
        <v>407000000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408</v>
      </c>
      <c r="F28" s="11">
        <f t="shared" si="1"/>
        <v>1</v>
      </c>
      <c r="G28" s="11">
        <f t="shared" si="3"/>
        <v>2442000000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408</v>
      </c>
      <c r="F29" s="11">
        <f t="shared" si="1"/>
        <v>1</v>
      </c>
      <c r="G29" s="11">
        <f t="shared" si="3"/>
        <v>2360600000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408</v>
      </c>
      <c r="F30" s="11">
        <f t="shared" si="1"/>
        <v>0</v>
      </c>
      <c r="G30" s="11">
        <f t="shared" si="3"/>
        <v>-2040000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407</v>
      </c>
      <c r="F31" s="11">
        <f t="shared" si="1"/>
        <v>0</v>
      </c>
      <c r="G31" s="11">
        <f>B31*(E31-F31)</f>
        <v>-10582000000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405</v>
      </c>
      <c r="F32" s="11">
        <f t="shared" si="1"/>
        <v>0</v>
      </c>
      <c r="G32" s="11">
        <f>B32*(E32-F32)</f>
        <v>-10611000000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386</v>
      </c>
      <c r="F33" s="11">
        <f t="shared" si="1"/>
        <v>1</v>
      </c>
      <c r="G33" s="11">
        <f>B33*(E33-F33)</f>
        <v>125896925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368</v>
      </c>
      <c r="F34" s="11">
        <f t="shared" si="1"/>
        <v>1</v>
      </c>
      <c r="G34" s="11">
        <f t="shared" ref="G34:G126" si="4">B34*(E34-F34)</f>
        <v>10422800000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368</v>
      </c>
      <c r="F35" s="11">
        <f t="shared" si="1"/>
        <v>1</v>
      </c>
      <c r="G35" s="12">
        <f t="shared" si="4"/>
        <v>4037000000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353</v>
      </c>
      <c r="F36" s="11">
        <f t="shared" si="1"/>
        <v>1</v>
      </c>
      <c r="G36" s="11">
        <f t="shared" si="4"/>
        <v>147382752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353</v>
      </c>
      <c r="F37" s="11">
        <f t="shared" si="1"/>
        <v>0</v>
      </c>
      <c r="G37" s="11">
        <f t="shared" si="4"/>
        <v>-317700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352</v>
      </c>
      <c r="F38" s="11">
        <f t="shared" si="1"/>
        <v>1</v>
      </c>
      <c r="G38" s="12">
        <f t="shared" si="4"/>
        <v>702000000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352</v>
      </c>
      <c r="F39" s="11">
        <f>IF(B39&gt;0,1,0)</f>
        <v>1</v>
      </c>
      <c r="G39" s="11">
        <f t="shared" si="4"/>
        <v>702000000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338</v>
      </c>
      <c r="F40" s="11">
        <f>IF(B40&gt;0,1,0)</f>
        <v>0</v>
      </c>
      <c r="G40" s="11">
        <f t="shared" si="4"/>
        <v>-67600000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338</v>
      </c>
      <c r="F41" s="11">
        <f>IF(B41&gt;0,1,0)</f>
        <v>0</v>
      </c>
      <c r="G41" s="11">
        <f t="shared" si="4"/>
        <v>-209560000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338</v>
      </c>
      <c r="F42" s="11">
        <f t="shared" ref="F42:F126" si="5">IF(B42&gt;0,1,0)</f>
        <v>0</v>
      </c>
      <c r="G42" s="11">
        <f t="shared" si="4"/>
        <v>-40560000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336</v>
      </c>
      <c r="F43" s="11">
        <f t="shared" si="5"/>
        <v>1</v>
      </c>
      <c r="G43" s="11">
        <f t="shared" si="4"/>
        <v>217750000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336</v>
      </c>
      <c r="F44" s="11">
        <f t="shared" si="5"/>
        <v>0</v>
      </c>
      <c r="G44" s="11">
        <f t="shared" si="4"/>
        <v>-1680000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336</v>
      </c>
      <c r="F45" s="11">
        <f t="shared" si="5"/>
        <v>1</v>
      </c>
      <c r="G45" s="11">
        <f t="shared" si="4"/>
        <v>9715000000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332</v>
      </c>
      <c r="F46" s="11">
        <f t="shared" si="5"/>
        <v>0</v>
      </c>
      <c r="G46" s="11">
        <f t="shared" si="4"/>
        <v>-66400000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329</v>
      </c>
      <c r="F47" s="11">
        <f t="shared" si="5"/>
        <v>0</v>
      </c>
      <c r="G47" s="11">
        <f t="shared" si="4"/>
        <v>-65800000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328</v>
      </c>
      <c r="F48" s="11">
        <f t="shared" si="5"/>
        <v>0</v>
      </c>
      <c r="G48" s="11">
        <f t="shared" si="4"/>
        <v>-65600000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323</v>
      </c>
      <c r="F49" s="11">
        <f t="shared" si="5"/>
        <v>1</v>
      </c>
      <c r="G49" s="11">
        <f t="shared" si="4"/>
        <v>966000000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323</v>
      </c>
      <c r="F50" s="11">
        <f t="shared" si="5"/>
        <v>1</v>
      </c>
      <c r="G50" s="12">
        <f t="shared" si="4"/>
        <v>966000000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322</v>
      </c>
      <c r="F51" s="11">
        <f t="shared" si="5"/>
        <v>1</v>
      </c>
      <c r="G51" s="11">
        <f t="shared" si="4"/>
        <v>245820837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322</v>
      </c>
      <c r="F52" s="11">
        <f t="shared" si="5"/>
        <v>0</v>
      </c>
      <c r="G52" s="11">
        <f t="shared" si="4"/>
        <v>-64400000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315</v>
      </c>
      <c r="F53" s="11">
        <f t="shared" si="5"/>
        <v>0</v>
      </c>
      <c r="G53" s="11">
        <f t="shared" si="4"/>
        <v>-126157500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306</v>
      </c>
      <c r="F54" s="11">
        <f t="shared" si="5"/>
        <v>0</v>
      </c>
      <c r="G54" s="11">
        <f t="shared" si="4"/>
        <v>-306121176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300</v>
      </c>
      <c r="F55" s="11">
        <f t="shared" si="5"/>
        <v>0</v>
      </c>
      <c r="G55" s="11">
        <f t="shared" si="4"/>
        <v>-12000000000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291</v>
      </c>
      <c r="F56" s="11">
        <f t="shared" si="5"/>
        <v>1</v>
      </c>
      <c r="G56" s="11">
        <f t="shared" si="4"/>
        <v>251039080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264</v>
      </c>
      <c r="F57" s="11">
        <f t="shared" si="5"/>
        <v>0</v>
      </c>
      <c r="G57" s="11">
        <f t="shared" si="4"/>
        <v>-13252800000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263</v>
      </c>
      <c r="F58" s="11">
        <f t="shared" si="5"/>
        <v>0</v>
      </c>
      <c r="G58" s="11">
        <f t="shared" si="4"/>
        <v>-3208731500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260</v>
      </c>
      <c r="F59" s="11">
        <f t="shared" si="5"/>
        <v>1</v>
      </c>
      <c r="G59" s="11">
        <f t="shared" si="4"/>
        <v>138540654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259</v>
      </c>
      <c r="F60" s="11">
        <f t="shared" si="5"/>
        <v>0</v>
      </c>
      <c r="G60" s="11">
        <f t="shared" si="4"/>
        <v>-87542000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257</v>
      </c>
      <c r="F61" s="11">
        <f t="shared" si="5"/>
        <v>0</v>
      </c>
      <c r="G61" s="11">
        <f t="shared" si="4"/>
        <v>-38550000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253</v>
      </c>
      <c r="F62" s="11">
        <f t="shared" si="5"/>
        <v>0</v>
      </c>
      <c r="G62" s="11">
        <f t="shared" si="4"/>
        <v>-25300000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249</v>
      </c>
      <c r="F63" s="11">
        <f t="shared" si="5"/>
        <v>0</v>
      </c>
      <c r="G63" s="11">
        <f t="shared" si="4"/>
        <v>-49800000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249</v>
      </c>
      <c r="F64" s="11">
        <f t="shared" si="5"/>
        <v>0</v>
      </c>
      <c r="G64" s="11">
        <f t="shared" si="4"/>
        <v>-21663000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245</v>
      </c>
      <c r="F65" s="11">
        <f t="shared" si="5"/>
        <v>0</v>
      </c>
      <c r="G65" s="11">
        <f t="shared" si="4"/>
        <v>-6730150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244</v>
      </c>
      <c r="F66" s="11">
        <f t="shared" si="5"/>
        <v>0</v>
      </c>
      <c r="G66" s="11">
        <f t="shared" si="4"/>
        <v>-81496000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239</v>
      </c>
      <c r="F67" s="11">
        <f t="shared" si="5"/>
        <v>0</v>
      </c>
      <c r="G67" s="11">
        <f t="shared" si="4"/>
        <v>-4780000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238</v>
      </c>
      <c r="F68" s="11">
        <f t="shared" si="5"/>
        <v>0</v>
      </c>
      <c r="G68" s="11">
        <f t="shared" si="4"/>
        <v>-71519000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238</v>
      </c>
      <c r="F69" s="11">
        <f t="shared" si="5"/>
        <v>0</v>
      </c>
      <c r="G69" s="11">
        <f t="shared" si="4"/>
        <v>-23800000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233</v>
      </c>
      <c r="F70" s="11">
        <f t="shared" si="5"/>
        <v>0</v>
      </c>
      <c r="G70" s="11">
        <f t="shared" si="4"/>
        <v>-46600000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229</v>
      </c>
      <c r="F71" s="11">
        <f t="shared" si="5"/>
        <v>1</v>
      </c>
      <c r="G71" s="11">
        <f t="shared" si="4"/>
        <v>3508692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229</v>
      </c>
      <c r="F72" s="11">
        <f t="shared" si="5"/>
        <v>1</v>
      </c>
      <c r="G72" s="11">
        <f t="shared" si="4"/>
        <v>912000000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229</v>
      </c>
      <c r="F73" s="11">
        <f t="shared" si="5"/>
        <v>1</v>
      </c>
      <c r="G73" s="11">
        <f t="shared" si="4"/>
        <v>592800000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229</v>
      </c>
      <c r="F74" s="11">
        <f t="shared" si="5"/>
        <v>1</v>
      </c>
      <c r="G74" s="11">
        <f t="shared" si="4"/>
        <v>684000000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226</v>
      </c>
      <c r="F75" s="11">
        <f t="shared" si="5"/>
        <v>0</v>
      </c>
      <c r="G75" s="11">
        <f t="shared" si="4"/>
        <v>-45200000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223</v>
      </c>
      <c r="F76" s="11">
        <f t="shared" si="5"/>
        <v>0</v>
      </c>
      <c r="G76" s="11">
        <f t="shared" si="4"/>
        <v>-446156100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223</v>
      </c>
      <c r="F77" s="11">
        <f t="shared" si="5"/>
        <v>0</v>
      </c>
      <c r="G77" s="11">
        <f t="shared" si="4"/>
        <v>-44600000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219</v>
      </c>
      <c r="F78" s="11">
        <f t="shared" si="5"/>
        <v>1</v>
      </c>
      <c r="G78" s="11">
        <f t="shared" si="4"/>
        <v>436000000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211</v>
      </c>
      <c r="F79" s="11">
        <f t="shared" si="5"/>
        <v>0</v>
      </c>
      <c r="G79" s="11">
        <f t="shared" si="4"/>
        <v>-211105500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211</v>
      </c>
      <c r="F80" s="11">
        <f t="shared" si="5"/>
        <v>0</v>
      </c>
      <c r="G80" s="11">
        <f t="shared" si="4"/>
        <v>-29951450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208</v>
      </c>
      <c r="F81" s="11">
        <f t="shared" si="5"/>
        <v>0</v>
      </c>
      <c r="G81" s="11">
        <f t="shared" si="4"/>
        <v>-187304000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198</v>
      </c>
      <c r="F82" s="11">
        <f t="shared" si="5"/>
        <v>1</v>
      </c>
      <c r="G82" s="11">
        <f t="shared" si="4"/>
        <v>16006447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176</v>
      </c>
      <c r="F83" s="11">
        <f t="shared" si="5"/>
        <v>1</v>
      </c>
      <c r="G83" s="11">
        <f t="shared" si="4"/>
        <v>8750000000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175</v>
      </c>
      <c r="F84" s="11">
        <f t="shared" si="5"/>
        <v>1</v>
      </c>
      <c r="G84" s="11">
        <f t="shared" si="4"/>
        <v>5220000000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175</v>
      </c>
      <c r="F85" s="11">
        <f t="shared" si="5"/>
        <v>0</v>
      </c>
      <c r="G85" s="11">
        <f t="shared" si="4"/>
        <v>-12687500000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174</v>
      </c>
      <c r="F86" s="11">
        <f t="shared" si="5"/>
        <v>0</v>
      </c>
      <c r="G86" s="11">
        <f t="shared" si="4"/>
        <v>-48894000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169</v>
      </c>
      <c r="F87" s="11">
        <f t="shared" si="5"/>
        <v>1</v>
      </c>
      <c r="G87" s="11">
        <f t="shared" si="4"/>
        <v>420000000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168</v>
      </c>
      <c r="F88" s="11">
        <f t="shared" si="5"/>
        <v>1</v>
      </c>
      <c r="G88" s="11">
        <f t="shared" si="4"/>
        <v>13082780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163</v>
      </c>
      <c r="F89" s="11">
        <f t="shared" si="5"/>
        <v>1</v>
      </c>
      <c r="G89" s="11">
        <f t="shared" si="4"/>
        <v>2430000000</v>
      </c>
    </row>
    <row r="90" spans="1:7" x14ac:dyDescent="0.25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138</v>
      </c>
      <c r="F90" s="11">
        <f t="shared" si="5"/>
        <v>1</v>
      </c>
      <c r="G90" s="11">
        <f t="shared" si="4"/>
        <v>33543902</v>
      </c>
    </row>
    <row r="91" spans="1:7" x14ac:dyDescent="0.25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109</v>
      </c>
      <c r="F91" s="11">
        <f t="shared" si="5"/>
        <v>1</v>
      </c>
      <c r="G91" s="11">
        <f t="shared" si="4"/>
        <v>29392740</v>
      </c>
    </row>
    <row r="92" spans="1:7" x14ac:dyDescent="0.25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79</v>
      </c>
      <c r="F92" s="11">
        <f t="shared" si="5"/>
        <v>1</v>
      </c>
      <c r="G92" s="11">
        <f t="shared" si="4"/>
        <v>234000000</v>
      </c>
    </row>
    <row r="93" spans="1:7" x14ac:dyDescent="0.25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79</v>
      </c>
      <c r="F93" s="11">
        <f t="shared" si="5"/>
        <v>1</v>
      </c>
      <c r="G93" s="11">
        <f t="shared" si="4"/>
        <v>21402030</v>
      </c>
    </row>
    <row r="94" spans="1:7" x14ac:dyDescent="0.25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78</v>
      </c>
      <c r="F94" s="11">
        <f t="shared" si="5"/>
        <v>1</v>
      </c>
      <c r="G94" s="11">
        <f t="shared" si="4"/>
        <v>423500000</v>
      </c>
    </row>
    <row r="95" spans="1:7" x14ac:dyDescent="0.25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77</v>
      </c>
      <c r="F95" s="11">
        <f t="shared" si="5"/>
        <v>1</v>
      </c>
      <c r="G95" s="11">
        <f t="shared" si="4"/>
        <v>228000000</v>
      </c>
    </row>
    <row r="96" spans="1:7" x14ac:dyDescent="0.25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76</v>
      </c>
      <c r="F96" s="11">
        <f t="shared" si="5"/>
        <v>1</v>
      </c>
      <c r="G96" s="11">
        <f t="shared" si="4"/>
        <v>225000000</v>
      </c>
    </row>
    <row r="97" spans="1:7" x14ac:dyDescent="0.25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75</v>
      </c>
      <c r="F97" s="11">
        <f t="shared" si="5"/>
        <v>1</v>
      </c>
      <c r="G97" s="11">
        <f t="shared" si="4"/>
        <v>222000000</v>
      </c>
    </row>
    <row r="98" spans="1:7" x14ac:dyDescent="0.25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74</v>
      </c>
      <c r="F98" s="11">
        <f t="shared" si="5"/>
        <v>1</v>
      </c>
      <c r="G98" s="11">
        <f t="shared" si="4"/>
        <v>219000000</v>
      </c>
    </row>
    <row r="99" spans="1:7" x14ac:dyDescent="0.25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73</v>
      </c>
      <c r="F99" s="11">
        <f t="shared" si="5"/>
        <v>1</v>
      </c>
      <c r="G99" s="11">
        <f t="shared" si="4"/>
        <v>216000000</v>
      </c>
    </row>
    <row r="100" spans="1:7" x14ac:dyDescent="0.25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71</v>
      </c>
      <c r="F100" s="11">
        <f t="shared" si="5"/>
        <v>1</v>
      </c>
      <c r="G100" s="11">
        <f t="shared" si="4"/>
        <v>69965000</v>
      </c>
    </row>
    <row r="101" spans="1:7" ht="30" x14ac:dyDescent="0.25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70</v>
      </c>
      <c r="F101" s="11">
        <f t="shared" si="5"/>
        <v>0</v>
      </c>
      <c r="G101" s="11">
        <f t="shared" si="4"/>
        <v>-139069000</v>
      </c>
    </row>
    <row r="102" spans="1:7" ht="30" x14ac:dyDescent="0.25">
      <c r="A102" s="11" t="s">
        <v>891</v>
      </c>
      <c r="B102" s="38">
        <v>3000000</v>
      </c>
      <c r="C102" s="73" t="s">
        <v>892</v>
      </c>
      <c r="D102" s="11">
        <v>0</v>
      </c>
      <c r="E102" s="11">
        <f t="shared" si="6"/>
        <v>49</v>
      </c>
      <c r="F102" s="11">
        <f t="shared" si="5"/>
        <v>1</v>
      </c>
      <c r="G102" s="11">
        <f t="shared" si="4"/>
        <v>144000000</v>
      </c>
    </row>
    <row r="103" spans="1:7" x14ac:dyDescent="0.25">
      <c r="A103" s="11" t="s">
        <v>1028</v>
      </c>
      <c r="B103" s="38">
        <v>295500</v>
      </c>
      <c r="C103" s="73" t="s">
        <v>1029</v>
      </c>
      <c r="D103" s="11">
        <v>15</v>
      </c>
      <c r="E103" s="11">
        <f t="shared" si="6"/>
        <v>49</v>
      </c>
      <c r="F103" s="11">
        <f t="shared" si="5"/>
        <v>1</v>
      </c>
      <c r="G103" s="11">
        <f t="shared" si="4"/>
        <v>14184000</v>
      </c>
    </row>
    <row r="104" spans="1:7" x14ac:dyDescent="0.25">
      <c r="A104" s="11" t="s">
        <v>916</v>
      </c>
      <c r="B104" s="38">
        <v>-10000</v>
      </c>
      <c r="C104" s="73" t="s">
        <v>922</v>
      </c>
      <c r="D104" s="11">
        <v>6</v>
      </c>
      <c r="E104" s="11">
        <f t="shared" si="6"/>
        <v>34</v>
      </c>
      <c r="F104" s="11">
        <f t="shared" si="5"/>
        <v>0</v>
      </c>
      <c r="G104" s="11">
        <f t="shared" si="4"/>
        <v>-340000</v>
      </c>
    </row>
    <row r="105" spans="1:7" x14ac:dyDescent="0.25">
      <c r="A105" s="11" t="s">
        <v>924</v>
      </c>
      <c r="B105" s="38">
        <v>1999000</v>
      </c>
      <c r="C105" s="73" t="s">
        <v>925</v>
      </c>
      <c r="D105" s="11">
        <v>5</v>
      </c>
      <c r="E105" s="11">
        <f t="shared" si="6"/>
        <v>28</v>
      </c>
      <c r="F105" s="11">
        <f t="shared" si="5"/>
        <v>1</v>
      </c>
      <c r="G105" s="11">
        <f t="shared" si="4"/>
        <v>53973000</v>
      </c>
    </row>
    <row r="106" spans="1:7" x14ac:dyDescent="0.25">
      <c r="A106" s="11" t="s">
        <v>941</v>
      </c>
      <c r="B106" s="38">
        <v>-60000000</v>
      </c>
      <c r="C106" s="73" t="s">
        <v>1025</v>
      </c>
      <c r="D106" s="11">
        <v>0</v>
      </c>
      <c r="E106" s="11">
        <f t="shared" si="6"/>
        <v>23</v>
      </c>
      <c r="F106" s="11">
        <f t="shared" si="5"/>
        <v>0</v>
      </c>
      <c r="G106" s="11">
        <f t="shared" si="4"/>
        <v>-1380000000</v>
      </c>
    </row>
    <row r="107" spans="1:7" x14ac:dyDescent="0.25">
      <c r="A107" s="11" t="s">
        <v>941</v>
      </c>
      <c r="B107" s="38">
        <v>5850000</v>
      </c>
      <c r="C107" s="73" t="s">
        <v>1027</v>
      </c>
      <c r="D107" s="11">
        <v>1</v>
      </c>
      <c r="E107" s="11">
        <f t="shared" si="6"/>
        <v>23</v>
      </c>
      <c r="F107" s="11">
        <f t="shared" si="5"/>
        <v>1</v>
      </c>
      <c r="G107" s="11">
        <f t="shared" si="4"/>
        <v>128700000</v>
      </c>
    </row>
    <row r="108" spans="1:7" x14ac:dyDescent="0.25">
      <c r="A108" s="11" t="s">
        <v>1033</v>
      </c>
      <c r="B108" s="38">
        <v>3000000</v>
      </c>
      <c r="C108" s="73" t="s">
        <v>1043</v>
      </c>
      <c r="D108" s="11">
        <v>1</v>
      </c>
      <c r="E108" s="11">
        <f t="shared" si="6"/>
        <v>22</v>
      </c>
      <c r="F108" s="11">
        <f t="shared" si="5"/>
        <v>1</v>
      </c>
      <c r="G108" s="11">
        <f t="shared" si="4"/>
        <v>63000000</v>
      </c>
    </row>
    <row r="109" spans="1:7" x14ac:dyDescent="0.25">
      <c r="A109" s="11" t="s">
        <v>1044</v>
      </c>
      <c r="B109" s="38">
        <v>2000000</v>
      </c>
      <c r="C109" s="73" t="s">
        <v>1043</v>
      </c>
      <c r="D109" s="11">
        <v>0</v>
      </c>
      <c r="E109" s="11">
        <f t="shared" si="6"/>
        <v>21</v>
      </c>
      <c r="F109" s="11">
        <f t="shared" si="5"/>
        <v>1</v>
      </c>
      <c r="G109" s="11">
        <f t="shared" si="4"/>
        <v>40000000</v>
      </c>
    </row>
    <row r="110" spans="1:7" x14ac:dyDescent="0.25">
      <c r="A110" s="11" t="s">
        <v>1044</v>
      </c>
      <c r="B110" s="38">
        <v>-5000000</v>
      </c>
      <c r="C110" s="73" t="s">
        <v>1025</v>
      </c>
      <c r="D110" s="11">
        <v>1</v>
      </c>
      <c r="E110" s="11">
        <f t="shared" si="6"/>
        <v>21</v>
      </c>
      <c r="F110" s="11">
        <f t="shared" si="5"/>
        <v>0</v>
      </c>
      <c r="G110" s="11">
        <f t="shared" si="4"/>
        <v>-105000000</v>
      </c>
    </row>
    <row r="111" spans="1:7" x14ac:dyDescent="0.25">
      <c r="A111" s="11" t="s">
        <v>1050</v>
      </c>
      <c r="B111" s="38">
        <v>412668</v>
      </c>
      <c r="C111" s="73" t="s">
        <v>1051</v>
      </c>
      <c r="D111" s="11">
        <v>8</v>
      </c>
      <c r="E111" s="11">
        <f t="shared" si="6"/>
        <v>20</v>
      </c>
      <c r="F111" s="11">
        <f t="shared" si="5"/>
        <v>1</v>
      </c>
      <c r="G111" s="11">
        <f t="shared" si="4"/>
        <v>7840692</v>
      </c>
    </row>
    <row r="112" spans="1:7" x14ac:dyDescent="0.25">
      <c r="A112" s="11" t="s">
        <v>1089</v>
      </c>
      <c r="B112" s="38">
        <v>42000000</v>
      </c>
      <c r="C112" s="73" t="s">
        <v>1090</v>
      </c>
      <c r="D112" s="11">
        <v>7</v>
      </c>
      <c r="E112" s="11">
        <f t="shared" si="6"/>
        <v>12</v>
      </c>
      <c r="F112" s="11">
        <f t="shared" si="5"/>
        <v>1</v>
      </c>
      <c r="G112" s="11">
        <f t="shared" si="4"/>
        <v>462000000</v>
      </c>
    </row>
    <row r="113" spans="1:7" x14ac:dyDescent="0.25">
      <c r="A113" s="11" t="s">
        <v>1108</v>
      </c>
      <c r="B113" s="38">
        <v>-25000000</v>
      </c>
      <c r="C113" s="73" t="s">
        <v>1113</v>
      </c>
      <c r="D113" s="11">
        <v>1</v>
      </c>
      <c r="E113" s="11">
        <f t="shared" si="6"/>
        <v>5</v>
      </c>
      <c r="F113" s="11">
        <f t="shared" si="5"/>
        <v>0</v>
      </c>
      <c r="G113" s="11">
        <f t="shared" si="4"/>
        <v>-125000000</v>
      </c>
    </row>
    <row r="114" spans="1:7" x14ac:dyDescent="0.25">
      <c r="A114" s="11" t="s">
        <v>1110</v>
      </c>
      <c r="B114" s="38">
        <v>-200000</v>
      </c>
      <c r="C114" s="73" t="s">
        <v>1135</v>
      </c>
      <c r="D114" s="11">
        <v>2</v>
      </c>
      <c r="E114" s="11">
        <f t="shared" si="6"/>
        <v>4</v>
      </c>
      <c r="F114" s="11">
        <f t="shared" si="5"/>
        <v>0</v>
      </c>
      <c r="G114" s="11">
        <f t="shared" si="4"/>
        <v>-800000</v>
      </c>
    </row>
    <row r="115" spans="1:7" x14ac:dyDescent="0.25">
      <c r="A115" s="11" t="s">
        <v>1143</v>
      </c>
      <c r="B115" s="38">
        <v>-18000000</v>
      </c>
      <c r="C115" s="73" t="s">
        <v>1144</v>
      </c>
      <c r="D115" s="11">
        <v>1</v>
      </c>
      <c r="E115" s="11">
        <f t="shared" si="6"/>
        <v>2</v>
      </c>
      <c r="F115" s="11">
        <f t="shared" si="5"/>
        <v>0</v>
      </c>
      <c r="G115" s="11">
        <f t="shared" si="4"/>
        <v>-36000000</v>
      </c>
    </row>
    <row r="116" spans="1:7" x14ac:dyDescent="0.25">
      <c r="A116" s="11" t="s">
        <v>1145</v>
      </c>
      <c r="B116" s="38">
        <v>-2500000</v>
      </c>
      <c r="C116" s="73" t="s">
        <v>1144</v>
      </c>
      <c r="D116" s="11">
        <v>1</v>
      </c>
      <c r="E116" s="11">
        <f t="shared" si="6"/>
        <v>1</v>
      </c>
      <c r="F116" s="11">
        <f t="shared" si="5"/>
        <v>0</v>
      </c>
      <c r="G116" s="11">
        <f t="shared" si="4"/>
        <v>-2500000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4027461</v>
      </c>
      <c r="C127" s="11"/>
      <c r="D127" s="11"/>
      <c r="E127" s="11"/>
      <c r="F127" s="11"/>
      <c r="G127" s="29">
        <f>SUM(G2:G126)</f>
        <v>21458147318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43349792.56161616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857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891</v>
      </c>
      <c r="B4" s="39">
        <v>294852</v>
      </c>
      <c r="C4" s="39">
        <v>74657</v>
      </c>
      <c r="D4" s="35">
        <f t="shared" si="0"/>
        <v>220195</v>
      </c>
      <c r="E4" s="23" t="s">
        <v>901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891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902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903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916</v>
      </c>
      <c r="B4" s="18">
        <v>-10000</v>
      </c>
      <c r="C4" s="18">
        <v>-5000</v>
      </c>
      <c r="D4" s="3">
        <f t="shared" si="0"/>
        <v>-5000</v>
      </c>
      <c r="E4" s="11" t="s">
        <v>922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941</v>
      </c>
      <c r="B5" s="18">
        <v>-27000000</v>
      </c>
      <c r="C5" s="18">
        <v>0</v>
      </c>
      <c r="D5" s="3">
        <f t="shared" si="0"/>
        <v>-27000000</v>
      </c>
      <c r="E5" s="20" t="s">
        <v>1026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1050</v>
      </c>
      <c r="B6" s="18">
        <v>252436</v>
      </c>
      <c r="C6" s="18">
        <v>65510</v>
      </c>
      <c r="D6" s="3">
        <f t="shared" si="0"/>
        <v>186926</v>
      </c>
      <c r="E6" s="19" t="s">
        <v>1052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904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932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1024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1042</v>
      </c>
    </row>
    <row r="36" spans="4:17" x14ac:dyDescent="0.25">
      <c r="D36" s="42">
        <v>245000</v>
      </c>
      <c r="E36" s="41" t="s">
        <v>1042</v>
      </c>
    </row>
    <row r="37" spans="4:17" x14ac:dyDescent="0.25">
      <c r="D37" s="7">
        <v>-25000</v>
      </c>
      <c r="E37" s="41" t="s">
        <v>1046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Normal="100" workbookViewId="0">
      <pane ySplit="1" topLeftCell="A35" activePane="bottomLeft" state="frozen"/>
      <selection pane="bottomLeft" activeCell="E58" sqref="E58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946</v>
      </c>
      <c r="B1" s="11" t="s">
        <v>943</v>
      </c>
      <c r="C1" s="11" t="s">
        <v>944</v>
      </c>
      <c r="D1" s="11" t="s">
        <v>955</v>
      </c>
      <c r="E1" s="11" t="s">
        <v>957</v>
      </c>
      <c r="F1" s="11" t="s">
        <v>947</v>
      </c>
      <c r="G1" s="11" t="s">
        <v>183</v>
      </c>
      <c r="H1" s="11" t="s">
        <v>962</v>
      </c>
      <c r="I1" s="11" t="s">
        <v>952</v>
      </c>
      <c r="J1" s="11" t="s">
        <v>958</v>
      </c>
      <c r="K1" s="11" t="s">
        <v>959</v>
      </c>
      <c r="L1" s="11" t="s">
        <v>953</v>
      </c>
      <c r="M1" s="11" t="s">
        <v>960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1030</v>
      </c>
      <c r="S1" s="105" t="s">
        <v>38</v>
      </c>
      <c r="T1" s="11" t="s">
        <v>963</v>
      </c>
      <c r="U1" s="74" t="s">
        <v>1047</v>
      </c>
      <c r="AE1" s="11" t="s">
        <v>962</v>
      </c>
      <c r="AF1" s="25"/>
    </row>
    <row r="2" spans="1:38" x14ac:dyDescent="0.25">
      <c r="A2" s="75" t="s">
        <v>933</v>
      </c>
      <c r="B2" s="75" t="s">
        <v>954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 t="shared" ref="I2:I32" si="0">F2*G2*($AE$2-H2)/(36500)</f>
        <v>0</v>
      </c>
      <c r="J2" s="75">
        <v>7.2499999999999995E-2</v>
      </c>
      <c r="K2" s="76">
        <f t="shared" ref="K2:K11" si="1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20</v>
      </c>
      <c r="AF2" s="107"/>
      <c r="AG2" s="102"/>
      <c r="AI2" s="102"/>
      <c r="AJ2" s="102"/>
      <c r="AL2" s="102"/>
    </row>
    <row r="3" spans="1:38" x14ac:dyDescent="0.25">
      <c r="A3" s="75" t="s">
        <v>933</v>
      </c>
      <c r="B3" s="75" t="s">
        <v>954</v>
      </c>
      <c r="C3" s="75">
        <v>400</v>
      </c>
      <c r="D3" s="75" t="s">
        <v>956</v>
      </c>
      <c r="E3" s="76">
        <v>99999</v>
      </c>
      <c r="F3" s="76">
        <v>40434473</v>
      </c>
      <c r="G3" s="75"/>
      <c r="H3" s="75">
        <v>21</v>
      </c>
      <c r="I3" s="76">
        <f t="shared" si="0"/>
        <v>0</v>
      </c>
      <c r="J3" s="75">
        <v>7.2499999999999995E-2</v>
      </c>
      <c r="K3" s="76">
        <f t="shared" si="1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949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950</v>
      </c>
      <c r="AF3" s="113" t="s">
        <v>1036</v>
      </c>
      <c r="AG3" s="113" t="s">
        <v>1037</v>
      </c>
      <c r="AH3" s="113" t="s">
        <v>1163</v>
      </c>
      <c r="AI3" s="113" t="s">
        <v>1038</v>
      </c>
      <c r="AJ3" s="113" t="s">
        <v>1039</v>
      </c>
      <c r="AK3" s="113" t="s">
        <v>1164</v>
      </c>
      <c r="AL3" s="113" t="s">
        <v>951</v>
      </c>
    </row>
    <row r="4" spans="1:38" x14ac:dyDescent="0.25">
      <c r="A4" s="78" t="s">
        <v>933</v>
      </c>
      <c r="B4" s="78" t="s">
        <v>945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658.83287671232881</v>
      </c>
      <c r="J4" s="78">
        <v>7.2499999999999995E-2</v>
      </c>
      <c r="K4" s="79">
        <f t="shared" si="1"/>
        <v>174.2175</v>
      </c>
      <c r="L4" s="78">
        <f>(E4*(1+J4/100)+I4/C4)/(1-J5/100)-(U4/C4)*(G4/365)*($AE$2/100)</f>
        <v>80435.999558584095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1143</v>
      </c>
      <c r="X4" s="113" t="s">
        <v>60</v>
      </c>
      <c r="Y4" s="115">
        <v>18000000</v>
      </c>
      <c r="Z4" s="113" t="s">
        <v>1159</v>
      </c>
      <c r="AA4" s="115">
        <v>0</v>
      </c>
      <c r="AB4" s="116">
        <v>18000000</v>
      </c>
      <c r="AC4" s="116">
        <v>0</v>
      </c>
      <c r="AD4" s="113">
        <v>5</v>
      </c>
      <c r="AE4" s="115">
        <f>Y4*$AE$2*AD4/36500</f>
        <v>49315.068493150684</v>
      </c>
      <c r="AF4" s="115">
        <f>AA4/$Y4*$AE4</f>
        <v>0</v>
      </c>
      <c r="AG4" s="115">
        <f t="shared" ref="AG4:AG11" si="2">AB4/$Y4*$AE4</f>
        <v>49315.068493150684</v>
      </c>
      <c r="AH4" s="115">
        <f t="shared" ref="AH4:AH11" si="3">AC4/$Y4*$AE4</f>
        <v>0</v>
      </c>
      <c r="AI4" s="115">
        <f>AA4+AF4</f>
        <v>0</v>
      </c>
      <c r="AJ4" s="115">
        <f>AB4+AG4</f>
        <v>18049315.06849315</v>
      </c>
      <c r="AK4" s="115">
        <f>AC4+AH4</f>
        <v>0</v>
      </c>
      <c r="AL4" s="116">
        <f>Y4+AE4</f>
        <v>18049315.06849315</v>
      </c>
    </row>
    <row r="5" spans="1:38" x14ac:dyDescent="0.25">
      <c r="A5" s="78" t="s">
        <v>1033</v>
      </c>
      <c r="B5" s="78" t="s">
        <v>945</v>
      </c>
      <c r="C5" s="78">
        <v>3</v>
      </c>
      <c r="D5" s="78" t="s">
        <v>956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1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 t="s">
        <v>1145</v>
      </c>
      <c r="X5" s="113" t="s">
        <v>60</v>
      </c>
      <c r="Y5" s="115">
        <v>2500000</v>
      </c>
      <c r="Z5" s="113" t="s">
        <v>1159</v>
      </c>
      <c r="AA5" s="115">
        <v>0</v>
      </c>
      <c r="AB5" s="116">
        <v>2500000</v>
      </c>
      <c r="AC5" s="116">
        <v>0</v>
      </c>
      <c r="AD5" s="113">
        <f>AD4-1</f>
        <v>4</v>
      </c>
      <c r="AE5" s="115">
        <f t="shared" ref="AE5:AE8" si="4">Y5*$AE$2*AD5/36500</f>
        <v>5479.4520547945203</v>
      </c>
      <c r="AF5" s="115">
        <f t="shared" ref="AF5:AF11" si="5">AA5/$Y5*$AE5</f>
        <v>0</v>
      </c>
      <c r="AG5" s="115">
        <f t="shared" si="2"/>
        <v>5479.4520547945203</v>
      </c>
      <c r="AH5" s="115">
        <f t="shared" si="3"/>
        <v>0</v>
      </c>
      <c r="AI5" s="115">
        <f t="shared" ref="AI5:AI11" si="6">AA5+AF5</f>
        <v>0</v>
      </c>
      <c r="AJ5" s="115">
        <f t="shared" ref="AJ5:AK11" si="7">AB5+AG5</f>
        <v>2505479.4520547944</v>
      </c>
      <c r="AK5" s="115">
        <f t="shared" si="7"/>
        <v>0</v>
      </c>
      <c r="AL5" s="116">
        <f t="shared" ref="AL5:AL11" si="8">Y5+AE5</f>
        <v>2505479.4520547944</v>
      </c>
    </row>
    <row r="6" spans="1:38" x14ac:dyDescent="0.25">
      <c r="A6" s="75" t="s">
        <v>933</v>
      </c>
      <c r="B6" s="75" t="s">
        <v>945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130976.25534246575</v>
      </c>
      <c r="J6" s="75">
        <v>7.2499999999999995E-2</v>
      </c>
      <c r="K6" s="76">
        <f t="shared" si="1"/>
        <v>28862.032500000001</v>
      </c>
      <c r="L6" s="75">
        <f>(E6*(1+J6/100)+I6/C6)/(1-J7/100)-(U6/C6)*(G6/365)*($AE$2/100)</f>
        <v>80479.954179743028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 t="s">
        <v>1158</v>
      </c>
      <c r="X6" s="113" t="s">
        <v>60</v>
      </c>
      <c r="Y6" s="115">
        <v>8000000</v>
      </c>
      <c r="Z6" s="113" t="s">
        <v>1162</v>
      </c>
      <c r="AA6" s="115">
        <v>0</v>
      </c>
      <c r="AB6" s="116">
        <v>1227869</v>
      </c>
      <c r="AC6" s="116">
        <v>6772131</v>
      </c>
      <c r="AD6" s="113">
        <f>AD5-1</f>
        <v>3</v>
      </c>
      <c r="AE6" s="115">
        <f t="shared" si="4"/>
        <v>13150.684931506848</v>
      </c>
      <c r="AF6" s="115">
        <f t="shared" si="5"/>
        <v>0</v>
      </c>
      <c r="AG6" s="115">
        <f t="shared" si="2"/>
        <v>2018.414794520548</v>
      </c>
      <c r="AH6" s="115">
        <f>AC6/$Y6*$AE6</f>
        <v>11132.270136986301</v>
      </c>
      <c r="AI6" s="115">
        <f t="shared" si="6"/>
        <v>0</v>
      </c>
      <c r="AJ6" s="115">
        <f t="shared" si="7"/>
        <v>1229887.4147945205</v>
      </c>
      <c r="AK6" s="115">
        <f t="shared" si="7"/>
        <v>6783263.2701369859</v>
      </c>
      <c r="AL6" s="116">
        <f t="shared" si="8"/>
        <v>8013150.6849315064</v>
      </c>
    </row>
    <row r="7" spans="1:38" x14ac:dyDescent="0.25">
      <c r="A7" s="75" t="s">
        <v>1044</v>
      </c>
      <c r="B7" s="75" t="s">
        <v>945</v>
      </c>
      <c r="C7" s="75">
        <v>497</v>
      </c>
      <c r="D7" s="75" t="s">
        <v>956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1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 t="s">
        <v>1171</v>
      </c>
      <c r="X7" s="113" t="s">
        <v>1172</v>
      </c>
      <c r="Y7" s="115">
        <v>-79552</v>
      </c>
      <c r="Z7" s="113" t="s">
        <v>1173</v>
      </c>
      <c r="AA7" s="115">
        <v>0</v>
      </c>
      <c r="AB7" s="116">
        <v>-79552</v>
      </c>
      <c r="AC7" s="116">
        <v>0</v>
      </c>
      <c r="AD7" s="113">
        <f>AD6-1</f>
        <v>2</v>
      </c>
      <c r="AE7" s="115">
        <f t="shared" si="4"/>
        <v>-87.180273972602734</v>
      </c>
      <c r="AF7" s="115">
        <f t="shared" si="5"/>
        <v>0</v>
      </c>
      <c r="AG7" s="115">
        <f t="shared" si="2"/>
        <v>-87.180273972602734</v>
      </c>
      <c r="AH7" s="115">
        <f t="shared" si="3"/>
        <v>0</v>
      </c>
      <c r="AI7" s="115">
        <f t="shared" si="6"/>
        <v>0</v>
      </c>
      <c r="AJ7" s="115">
        <f t="shared" si="7"/>
        <v>-79639.180273972597</v>
      </c>
      <c r="AK7" s="115">
        <f t="shared" si="7"/>
        <v>0</v>
      </c>
      <c r="AL7" s="116">
        <f t="shared" si="8"/>
        <v>-79639.180273972597</v>
      </c>
    </row>
    <row r="8" spans="1:38" x14ac:dyDescent="0.25">
      <c r="A8" s="78" t="s">
        <v>942</v>
      </c>
      <c r="B8" s="78" t="s">
        <v>961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 t="shared" si="0"/>
        <v>-2400.3166849315066</v>
      </c>
      <c r="J8" s="78">
        <v>7.2499999999999995E-2</v>
      </c>
      <c r="K8" s="79">
        <f t="shared" si="1"/>
        <v>21145.1325</v>
      </c>
      <c r="L8" s="78">
        <f>(E8*(1+J8/100)+I8/C8)/(1-J9/100)-(U8/C8)*(G8/365)*($AE$2/100)</f>
        <v>97352.15615882774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 t="s">
        <v>1190</v>
      </c>
      <c r="X8" s="113" t="s">
        <v>60</v>
      </c>
      <c r="Y8" s="115">
        <v>165500</v>
      </c>
      <c r="Z8" s="113" t="s">
        <v>675</v>
      </c>
      <c r="AA8" s="115">
        <v>165500</v>
      </c>
      <c r="AB8" s="116">
        <v>0</v>
      </c>
      <c r="AC8" s="116">
        <v>0</v>
      </c>
      <c r="AD8" s="113">
        <f>AD7-1</f>
        <v>1</v>
      </c>
      <c r="AE8" s="115">
        <f t="shared" si="4"/>
        <v>90.68493150684931</v>
      </c>
      <c r="AF8" s="115">
        <f t="shared" si="5"/>
        <v>90.68493150684931</v>
      </c>
      <c r="AG8" s="115">
        <f t="shared" si="2"/>
        <v>0</v>
      </c>
      <c r="AH8" s="115">
        <f t="shared" si="3"/>
        <v>0</v>
      </c>
      <c r="AI8" s="115">
        <f t="shared" si="6"/>
        <v>165590.68493150684</v>
      </c>
      <c r="AJ8" s="115">
        <f t="shared" si="7"/>
        <v>0</v>
      </c>
      <c r="AK8" s="115">
        <f t="shared" si="7"/>
        <v>0</v>
      </c>
      <c r="AL8" s="116">
        <f t="shared" si="8"/>
        <v>165590.68493150684</v>
      </c>
    </row>
    <row r="9" spans="1:38" x14ac:dyDescent="0.25">
      <c r="A9" s="78" t="s">
        <v>941</v>
      </c>
      <c r="B9" s="78" t="s">
        <v>961</v>
      </c>
      <c r="C9" s="78">
        <v>300</v>
      </c>
      <c r="D9" s="78" t="s">
        <v>956</v>
      </c>
      <c r="E9" s="79">
        <v>98000</v>
      </c>
      <c r="F9" s="79">
        <v>29446055</v>
      </c>
      <c r="G9" s="78">
        <v>0</v>
      </c>
      <c r="H9" s="78">
        <v>0</v>
      </c>
      <c r="I9" s="79">
        <f t="shared" si="0"/>
        <v>0</v>
      </c>
      <c r="J9" s="78">
        <v>7.2499999999999995E-2</v>
      </c>
      <c r="K9" s="79">
        <f t="shared" si="1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 t="shared" ref="U9" si="9">-C9*E9+K9+F9</f>
        <v>67370</v>
      </c>
      <c r="W9" s="113"/>
      <c r="X9" s="113"/>
      <c r="Y9" s="115">
        <v>1</v>
      </c>
      <c r="Z9" s="113"/>
      <c r="AA9" s="113"/>
      <c r="AB9" s="113"/>
      <c r="AC9" s="113"/>
      <c r="AD9" s="113"/>
      <c r="AE9" s="115">
        <f t="shared" ref="AE9:AE10" si="10">AB9*$AE$2*AD9/36500</f>
        <v>0</v>
      </c>
      <c r="AF9" s="115">
        <f t="shared" si="5"/>
        <v>0</v>
      </c>
      <c r="AG9" s="115">
        <f t="shared" si="2"/>
        <v>0</v>
      </c>
      <c r="AH9" s="115">
        <f t="shared" si="3"/>
        <v>0</v>
      </c>
      <c r="AI9" s="115">
        <f t="shared" si="6"/>
        <v>0</v>
      </c>
      <c r="AJ9" s="115">
        <f t="shared" si="7"/>
        <v>0</v>
      </c>
      <c r="AK9" s="115">
        <f t="shared" si="7"/>
        <v>0</v>
      </c>
      <c r="AL9" s="116">
        <f t="shared" si="8"/>
        <v>1</v>
      </c>
    </row>
    <row r="10" spans="1:38" x14ac:dyDescent="0.25">
      <c r="A10" s="75" t="s">
        <v>942</v>
      </c>
      <c r="B10" s="75" t="s">
        <v>961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-1333.5091780821917</v>
      </c>
      <c r="J10" s="75">
        <v>7.2499999999999995E-2</v>
      </c>
      <c r="K10" s="76">
        <f t="shared" si="1"/>
        <v>7048.3774999999996</v>
      </c>
      <c r="L10" s="75">
        <f>(E10*(1+J10/100)+I10/C10)/(1-J11/100)-(U10/C10)*(G10/365)*($AE$2/100)</f>
        <v>97346.880363612901</v>
      </c>
      <c r="M10" s="75"/>
      <c r="N10" s="75"/>
      <c r="O10" s="75"/>
      <c r="P10" s="108"/>
      <c r="Q10" s="77"/>
      <c r="R10" s="77"/>
      <c r="S10" s="110"/>
      <c r="T10" s="75"/>
      <c r="U10" s="76">
        <f t="shared" ref="U10" si="11">C10*E10+K10-F10</f>
        <v>-5668.6225000005215</v>
      </c>
      <c r="W10" s="113"/>
      <c r="X10" s="113"/>
      <c r="Y10" s="115">
        <v>1</v>
      </c>
      <c r="Z10" s="113"/>
      <c r="AA10" s="113"/>
      <c r="AB10" s="113"/>
      <c r="AC10" s="113"/>
      <c r="AD10" s="113"/>
      <c r="AE10" s="115">
        <f t="shared" si="10"/>
        <v>0</v>
      </c>
      <c r="AF10" s="115">
        <f t="shared" si="5"/>
        <v>0</v>
      </c>
      <c r="AG10" s="115">
        <f t="shared" si="2"/>
        <v>0</v>
      </c>
      <c r="AH10" s="115">
        <f t="shared" si="3"/>
        <v>0</v>
      </c>
      <c r="AI10" s="115">
        <f t="shared" si="6"/>
        <v>0</v>
      </c>
      <c r="AJ10" s="115">
        <f t="shared" si="7"/>
        <v>0</v>
      </c>
      <c r="AK10" s="115">
        <f t="shared" si="7"/>
        <v>0</v>
      </c>
      <c r="AL10" s="116">
        <f t="shared" si="8"/>
        <v>1</v>
      </c>
    </row>
    <row r="11" spans="1:38" x14ac:dyDescent="0.25">
      <c r="A11" s="75" t="s">
        <v>1044</v>
      </c>
      <c r="B11" s="75" t="s">
        <v>961</v>
      </c>
      <c r="C11" s="75">
        <v>100</v>
      </c>
      <c r="D11" s="75" t="s">
        <v>956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1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 t="shared" ref="U11" si="12">-C11*E11+K11+F11</f>
        <v>33703.75</v>
      </c>
      <c r="W11" s="113"/>
      <c r="X11" s="113"/>
      <c r="Y11" s="113">
        <v>1</v>
      </c>
      <c r="Z11" s="113"/>
      <c r="AA11" s="113"/>
      <c r="AB11" s="113"/>
      <c r="AC11" s="113"/>
      <c r="AD11" s="113"/>
      <c r="AE11" s="113"/>
      <c r="AF11" s="115">
        <f t="shared" si="5"/>
        <v>0</v>
      </c>
      <c r="AG11" s="113">
        <f t="shared" si="2"/>
        <v>0</v>
      </c>
      <c r="AH11" s="113">
        <f t="shared" si="3"/>
        <v>0</v>
      </c>
      <c r="AI11" s="115">
        <f t="shared" si="6"/>
        <v>0</v>
      </c>
      <c r="AJ11" s="115">
        <f t="shared" si="7"/>
        <v>0</v>
      </c>
      <c r="AK11" s="115">
        <f t="shared" si="7"/>
        <v>0</v>
      </c>
      <c r="AL11" s="116">
        <f t="shared" si="8"/>
        <v>1</v>
      </c>
    </row>
    <row r="12" spans="1:38" x14ac:dyDescent="0.25">
      <c r="A12" s="78" t="s">
        <v>941</v>
      </c>
      <c r="B12" s="78" t="s">
        <v>1023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 t="shared" si="0"/>
        <v>0</v>
      </c>
      <c r="J12" s="78">
        <v>7.2499999999999995E-2</v>
      </c>
      <c r="K12" s="79">
        <f t="shared" ref="K12:K35" si="13"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>
        <f>SUM(Y4:Y11)</f>
        <v>28585951</v>
      </c>
      <c r="Z12" s="113"/>
      <c r="AA12" s="116">
        <f t="shared" ref="AA12:AC12" si="14">SUM(AA4:AA11)</f>
        <v>165500</v>
      </c>
      <c r="AB12" s="116">
        <f t="shared" si="14"/>
        <v>21648317</v>
      </c>
      <c r="AC12" s="116">
        <f t="shared" si="14"/>
        <v>6772131</v>
      </c>
      <c r="AD12" s="113"/>
      <c r="AE12" s="116">
        <f t="shared" ref="AE12" si="15">SUM(AE4:AE11)</f>
        <v>67948.710136986308</v>
      </c>
      <c r="AF12" s="116">
        <f t="shared" ref="AF12" si="16">SUM(AF4:AF11)</f>
        <v>90.68493150684931</v>
      </c>
      <c r="AG12" s="116">
        <f t="shared" ref="AG12" si="17">SUM(AG4:AG11)</f>
        <v>56725.755068493148</v>
      </c>
      <c r="AH12" s="116">
        <f t="shared" ref="AH12" si="18">SUM(AH4:AH11)</f>
        <v>11132.270136986301</v>
      </c>
      <c r="AI12" s="116">
        <f t="shared" ref="AI12" si="19">SUM(AI4:AI11)</f>
        <v>165590.68493150684</v>
      </c>
      <c r="AJ12" s="116">
        <f t="shared" ref="AJ12" si="20">SUM(AJ4:AJ11)</f>
        <v>21705042.755068492</v>
      </c>
      <c r="AK12" s="116">
        <f t="shared" ref="AK12" si="21">SUM(AK4:AK11)</f>
        <v>6783263.2701369859</v>
      </c>
      <c r="AL12" s="116">
        <f t="shared" ref="AL12" si="22">SUM(AL4:AL11)</f>
        <v>28653899.710136984</v>
      </c>
    </row>
    <row r="13" spans="1:38" x14ac:dyDescent="0.25">
      <c r="A13" s="78" t="s">
        <v>941</v>
      </c>
      <c r="B13" s="78" t="s">
        <v>1023</v>
      </c>
      <c r="C13" s="78">
        <v>200</v>
      </c>
      <c r="D13" s="78" t="s">
        <v>956</v>
      </c>
      <c r="E13" s="79">
        <v>70488</v>
      </c>
      <c r="F13" s="79">
        <v>14087559</v>
      </c>
      <c r="G13" s="78">
        <v>0</v>
      </c>
      <c r="H13" s="78">
        <v>0</v>
      </c>
      <c r="I13" s="79">
        <f t="shared" si="0"/>
        <v>0</v>
      </c>
      <c r="J13" s="78">
        <v>7.2499999999999995E-2</v>
      </c>
      <c r="K13" s="79">
        <f t="shared" si="13"/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941</v>
      </c>
      <c r="B14" s="75" t="s">
        <v>971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 t="shared" si="0"/>
        <v>0</v>
      </c>
      <c r="J14" s="75">
        <v>7.2499999999999995E-2</v>
      </c>
      <c r="K14" s="76">
        <f t="shared" si="13"/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 t="shared" ref="U14" si="23"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1118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941</v>
      </c>
      <c r="B15" s="75" t="s">
        <v>971</v>
      </c>
      <c r="C15" s="75">
        <v>200</v>
      </c>
      <c r="D15" s="75" t="s">
        <v>956</v>
      </c>
      <c r="E15" s="76">
        <v>83399</v>
      </c>
      <c r="F15" s="76">
        <v>17520183</v>
      </c>
      <c r="G15" s="75">
        <v>0</v>
      </c>
      <c r="H15" s="75">
        <v>15</v>
      </c>
      <c r="I15" s="76">
        <f t="shared" si="0"/>
        <v>0</v>
      </c>
      <c r="J15" s="75">
        <v>7.2499999999999995E-2</v>
      </c>
      <c r="K15" s="76">
        <f t="shared" si="13"/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 t="shared" ref="U15" si="24">-C15*E15+K15+F15</f>
        <v>852475.85500000045</v>
      </c>
      <c r="W15" s="102"/>
      <c r="X15" s="102"/>
      <c r="Y15" s="102"/>
      <c r="Z15" s="102"/>
      <c r="AA15" s="102" t="s">
        <v>1040</v>
      </c>
      <c r="AB15" s="104">
        <f>AA12+Q70</f>
        <v>294868.05769452493</v>
      </c>
      <c r="AC15" s="120">
        <f>AB12+R70</f>
        <v>21754246.71682997</v>
      </c>
      <c r="AD15" s="120">
        <f>AC12+S70</f>
        <v>6794479.185475504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941</v>
      </c>
      <c r="B16" s="78" t="s">
        <v>954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-541.27183561643835</v>
      </c>
      <c r="J16" s="78">
        <v>7.2499999999999995E-2</v>
      </c>
      <c r="K16" s="79">
        <f t="shared" ref="K16:K21" si="25">C16*E16*J16/100</f>
        <v>7056.28</v>
      </c>
      <c r="L16" s="78">
        <f>(E16*(1+J16/100)+I16/C16)/(1-J17/100)-(U16/C16)*(G16/365)*($AE$2/100)</f>
        <v>97465.327560978476</v>
      </c>
      <c r="M16" s="80"/>
      <c r="N16" s="78"/>
      <c r="O16" s="78"/>
      <c r="P16" s="111"/>
      <c r="Q16" s="80"/>
      <c r="R16" s="80"/>
      <c r="S16" s="112"/>
      <c r="T16" s="78"/>
      <c r="U16" s="79">
        <f t="shared" ref="U16" si="26">C16*E16+K16-F16</f>
        <v>-138354.72000000067</v>
      </c>
      <c r="W16" s="102"/>
      <c r="X16" s="102"/>
      <c r="Y16" s="102"/>
      <c r="Z16" s="102"/>
      <c r="AA16" s="102" t="s">
        <v>1041</v>
      </c>
      <c r="AB16" s="104">
        <f>AB15-AI12</f>
        <v>129277.37276301809</v>
      </c>
      <c r="AC16" s="120">
        <f t="shared" ref="AC16:AD16" si="27">AC15-AJ12</f>
        <v>49203.961761478335</v>
      </c>
      <c r="AD16" s="120">
        <f t="shared" si="27"/>
        <v>11215.915338518098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1044</v>
      </c>
      <c r="B17" s="78" t="s">
        <v>954</v>
      </c>
      <c r="C17" s="78">
        <v>100</v>
      </c>
      <c r="D17" s="78" t="s">
        <v>956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25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 t="shared" ref="Q17" si="28">M17*N17/C16</f>
        <v>82077</v>
      </c>
      <c r="R17" s="80">
        <f t="shared" ref="R17" si="29">M17*O17/C16</f>
        <v>82077</v>
      </c>
      <c r="S17" s="112">
        <f>M17*P17/C16</f>
        <v>0</v>
      </c>
      <c r="T17" s="78"/>
      <c r="U17" s="79">
        <f t="shared" ref="U17" si="30"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941</v>
      </c>
      <c r="B18" s="75" t="s">
        <v>954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-541.27183561643835</v>
      </c>
      <c r="J18" s="75">
        <v>7.2499999999999995E-2</v>
      </c>
      <c r="K18" s="76">
        <f t="shared" si="25"/>
        <v>7056.28</v>
      </c>
      <c r="L18" s="75">
        <f>(E18*(1+J18/100)+I18/C18)/(1-J19/100)-(U18/C18)*(G18/365)*($AE$2/100)</f>
        <v>97465.327560978476</v>
      </c>
      <c r="M18" s="77"/>
      <c r="N18" s="75"/>
      <c r="O18" s="75"/>
      <c r="P18" s="108"/>
      <c r="Q18" s="77"/>
      <c r="R18" s="77"/>
      <c r="S18" s="110"/>
      <c r="T18" s="75"/>
      <c r="U18" s="76">
        <f t="shared" ref="U18" si="31">C18*E18+K18-F18</f>
        <v>-138354.72000000067</v>
      </c>
      <c r="W18" s="102"/>
      <c r="X18" s="102"/>
      <c r="Y18" s="102"/>
      <c r="Z18" s="102"/>
      <c r="AA18" s="102" t="s">
        <v>1071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1044</v>
      </c>
      <c r="B19" s="75" t="s">
        <v>954</v>
      </c>
      <c r="C19" s="75">
        <v>100</v>
      </c>
      <c r="D19" s="75" t="s">
        <v>956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25"/>
        <v>7249.8549999999996</v>
      </c>
      <c r="L19" s="75">
        <v>8</v>
      </c>
      <c r="M19" s="77">
        <f t="shared" ref="M19" si="32">F19-F18</f>
        <v>263972</v>
      </c>
      <c r="N19" s="75">
        <v>50</v>
      </c>
      <c r="O19" s="75">
        <v>50</v>
      </c>
      <c r="P19" s="108">
        <v>0</v>
      </c>
      <c r="Q19" s="77">
        <f t="shared" ref="Q19" si="33">M19*N19/C18</f>
        <v>131986</v>
      </c>
      <c r="R19" s="77">
        <f t="shared" ref="R19" si="34">M19*O19/C18</f>
        <v>131986</v>
      </c>
      <c r="S19" s="110">
        <f>M19*P19/C18</f>
        <v>0</v>
      </c>
      <c r="T19" s="75"/>
      <c r="U19" s="76">
        <f t="shared" ref="U19" si="35">-C19*E19+K19+F19</f>
        <v>149632.85500000045</v>
      </c>
      <c r="W19" s="102"/>
      <c r="X19" s="102"/>
      <c r="Y19" s="102"/>
      <c r="Z19" s="102"/>
      <c r="AA19" s="102" t="s">
        <v>1072</v>
      </c>
      <c r="AB19" s="102">
        <v>26</v>
      </c>
      <c r="AD19" s="102"/>
      <c r="AE19" s="102"/>
      <c r="AF19" s="102"/>
      <c r="AG19" s="102"/>
    </row>
    <row r="20" spans="1:33" x14ac:dyDescent="0.25">
      <c r="A20" s="78" t="s">
        <v>941</v>
      </c>
      <c r="B20" s="78" t="s">
        <v>954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-1082.5436712328767</v>
      </c>
      <c r="J20" s="78">
        <v>7.2499999999999995E-2</v>
      </c>
      <c r="K20" s="79">
        <f t="shared" si="25"/>
        <v>14112.56</v>
      </c>
      <c r="L20" s="78">
        <f>(E20*(1+J20/100)+I20/C20)/(1-J21/100)-(U20/C20)*(G20/365)*($AE$2/100)</f>
        <v>97465.327560978476</v>
      </c>
      <c r="M20" s="80"/>
      <c r="N20" s="78"/>
      <c r="O20" s="78"/>
      <c r="P20" s="111"/>
      <c r="Q20" s="80"/>
      <c r="R20" s="80"/>
      <c r="S20" s="112"/>
      <c r="T20" s="78"/>
      <c r="U20" s="79">
        <f t="shared" ref="U20" si="36"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1044</v>
      </c>
      <c r="B21" s="78" t="s">
        <v>954</v>
      </c>
      <c r="C21" s="78">
        <v>200</v>
      </c>
      <c r="D21" s="78" t="s">
        <v>956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25"/>
        <v>14355</v>
      </c>
      <c r="L21" s="78">
        <v>9</v>
      </c>
      <c r="M21" s="80">
        <f t="shared" ref="M21" si="37">F21-F20</f>
        <v>328309</v>
      </c>
      <c r="N21" s="78">
        <v>100</v>
      </c>
      <c r="O21" s="78">
        <v>100</v>
      </c>
      <c r="P21" s="111">
        <v>0</v>
      </c>
      <c r="Q21" s="80">
        <f t="shared" ref="Q21" si="38">M21*N21/C20</f>
        <v>164154.5</v>
      </c>
      <c r="R21" s="80">
        <f t="shared" ref="R21" si="39">M21*O21/C20</f>
        <v>164154.5</v>
      </c>
      <c r="S21" s="112">
        <f>M21*P21/C20</f>
        <v>0</v>
      </c>
      <c r="T21" s="78"/>
      <c r="U21" s="79">
        <f t="shared" ref="U21" si="40"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941</v>
      </c>
      <c r="B22" s="75" t="s">
        <v>967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-559.48580821917813</v>
      </c>
      <c r="J22" s="75">
        <v>7.2499999999999995E-2</v>
      </c>
      <c r="K22" s="76">
        <f t="shared" ref="K22:K23" si="41">C22*E22*J22/100</f>
        <v>7095.9375</v>
      </c>
      <c r="L22" s="75">
        <f>(E22*(1+J22/100)+I22/C22)/(1-J23/100)-(U22/C22)*(G22/365)*($AE$2/100)</f>
        <v>98015.981922419291</v>
      </c>
      <c r="M22" s="77"/>
      <c r="N22" s="75"/>
      <c r="O22" s="75"/>
      <c r="P22" s="108"/>
      <c r="Q22" s="77"/>
      <c r="R22" s="77"/>
      <c r="S22" s="110"/>
      <c r="T22" s="75"/>
      <c r="U22" s="76">
        <f t="shared" ref="U22" si="42">C22*E22+K22-F22</f>
        <v>-416020.0625</v>
      </c>
      <c r="W22" s="102"/>
      <c r="X22" s="102"/>
      <c r="Y22" s="105" t="s">
        <v>964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1044</v>
      </c>
      <c r="B23" s="75" t="s">
        <v>967</v>
      </c>
      <c r="C23" s="75">
        <v>100</v>
      </c>
      <c r="D23" s="75" t="s">
        <v>956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41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 t="shared" ref="U23" si="43">-C23*E23+K23+F23</f>
        <v>427982.92750000022</v>
      </c>
      <c r="W23" s="102"/>
      <c r="X23" s="102"/>
      <c r="Y23" s="105" t="s">
        <v>965</v>
      </c>
      <c r="Z23" s="103">
        <v>170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941</v>
      </c>
      <c r="B24" s="78" t="s">
        <v>954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-1623.8155068493152</v>
      </c>
      <c r="J24" s="78">
        <v>7.2499999999999995E-2</v>
      </c>
      <c r="K24" s="79">
        <f t="shared" ref="K24:K25" si="44">C24*E24*J24/100</f>
        <v>21168.84</v>
      </c>
      <c r="L24" s="78">
        <f>(E24*(1+J24/100)+I24/C24)/(1-J25/100)-(U24/C24)*(G24/365)*($AE$2/100)</f>
        <v>97465.327560978476</v>
      </c>
      <c r="M24" s="80"/>
      <c r="N24" s="78"/>
      <c r="O24" s="78"/>
      <c r="P24" s="111"/>
      <c r="Q24" s="80"/>
      <c r="R24" s="80"/>
      <c r="S24" s="112"/>
      <c r="T24" s="78"/>
      <c r="U24" s="79">
        <f t="shared" ref="U24" si="45">C24*E24+K24-F24</f>
        <v>-415064.16000000015</v>
      </c>
      <c r="W24" s="102"/>
      <c r="X24" s="102"/>
      <c r="Y24" s="105" t="s">
        <v>1160</v>
      </c>
      <c r="Z24" s="103">
        <f>C56*T56</f>
        <v>28870400</v>
      </c>
      <c r="AA24" s="102"/>
      <c r="AB24" s="102"/>
      <c r="AD24" s="104"/>
      <c r="AE24" s="102"/>
      <c r="AF24" s="102"/>
      <c r="AG24" s="102"/>
    </row>
    <row r="25" spans="1:33" x14ac:dyDescent="0.25">
      <c r="A25" s="78" t="s">
        <v>1044</v>
      </c>
      <c r="B25" s="78" t="s">
        <v>954</v>
      </c>
      <c r="C25" s="78">
        <v>300</v>
      </c>
      <c r="D25" s="78" t="s">
        <v>956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44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 t="shared" ref="U25" si="46"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941</v>
      </c>
      <c r="B26" s="75" t="s">
        <v>967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-1118.9716164383563</v>
      </c>
      <c r="J26" s="75">
        <v>7.2499999999999995E-2</v>
      </c>
      <c r="K26" s="76">
        <f>C26*E26*J26/100</f>
        <v>14191.875</v>
      </c>
      <c r="L26" s="75">
        <f>(E26*(1+J26/100)+I26/C26)/(1-J27/100)-(U26/C26)*(G26/365)*($AE$2/100)</f>
        <v>98015.981922419291</v>
      </c>
      <c r="M26" s="77"/>
      <c r="N26" s="75"/>
      <c r="O26" s="75"/>
      <c r="P26" s="108"/>
      <c r="Q26" s="77"/>
      <c r="R26" s="77"/>
      <c r="S26" s="110"/>
      <c r="T26" s="75"/>
      <c r="U26" s="76">
        <f t="shared" ref="U26" si="47"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1044</v>
      </c>
      <c r="B27" s="75" t="s">
        <v>967</v>
      </c>
      <c r="C27" s="75">
        <v>200</v>
      </c>
      <c r="D27" s="75" t="s">
        <v>956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>C27*E27*J27/100</f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 t="shared" ref="U27" si="48"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941</v>
      </c>
      <c r="B28" s="88" t="s">
        <v>967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-2237.9432328767125</v>
      </c>
      <c r="J28" s="88">
        <v>7.2499999999999995E-2</v>
      </c>
      <c r="K28" s="89">
        <f>C28*E28*J28/100</f>
        <v>7095.9375</v>
      </c>
      <c r="L28" s="88">
        <f>(E28*(1+J28/100)+I28/C28)/(1-J29/100)-(U28/C28)*(G28/365)*($AE$2/100)</f>
        <v>98012.862542445393</v>
      </c>
      <c r="M28" s="88"/>
      <c r="N28" s="88"/>
      <c r="O28" s="88"/>
      <c r="P28" s="88"/>
      <c r="Q28" s="88"/>
      <c r="R28" s="88"/>
      <c r="S28" s="88"/>
      <c r="T28" s="89"/>
      <c r="U28" s="89">
        <f t="shared" ref="U28" si="49"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1081</v>
      </c>
      <c r="B29" s="88" t="s">
        <v>967</v>
      </c>
      <c r="C29" s="88">
        <v>100</v>
      </c>
      <c r="D29" s="88" t="s">
        <v>956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ref="K29" si="50">C29*E29*J29/100</f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 t="shared" ref="Q29" si="51">M29*N29/C28</f>
        <v>122958.5</v>
      </c>
      <c r="R29" s="89">
        <f t="shared" ref="R29" si="52">M29*O29/C28</f>
        <v>122958.5</v>
      </c>
      <c r="S29" s="89">
        <f>M29*P29/C28</f>
        <v>0</v>
      </c>
      <c r="T29" s="88"/>
      <c r="U29" s="89">
        <f t="shared" ref="U29" si="53"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1033</v>
      </c>
      <c r="B30" s="78" t="s">
        <v>1023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 t="shared" si="0"/>
        <v>0</v>
      </c>
      <c r="J30" s="78">
        <v>7.2499999999999995E-2</v>
      </c>
      <c r="K30" s="79">
        <f t="shared" si="13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1033</v>
      </c>
      <c r="B31" s="78" t="s">
        <v>1023</v>
      </c>
      <c r="C31" s="78">
        <v>143</v>
      </c>
      <c r="D31" s="78" t="s">
        <v>956</v>
      </c>
      <c r="E31" s="79">
        <v>70500</v>
      </c>
      <c r="F31" s="79">
        <v>10074191</v>
      </c>
      <c r="G31" s="78">
        <v>0</v>
      </c>
      <c r="H31" s="78">
        <v>0</v>
      </c>
      <c r="I31" s="79">
        <f t="shared" si="0"/>
        <v>0</v>
      </c>
      <c r="J31" s="78">
        <v>7.2499999999999995E-2</v>
      </c>
      <c r="K31" s="79">
        <f t="shared" si="13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1033</v>
      </c>
      <c r="B32" s="75" t="s">
        <v>945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 t="shared" si="0"/>
        <v>0</v>
      </c>
      <c r="J32" s="75">
        <v>7.2499999999999995E-2</v>
      </c>
      <c r="K32" s="76">
        <f t="shared" si="13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28870570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1033</v>
      </c>
      <c r="B33" s="75" t="s">
        <v>945</v>
      </c>
      <c r="C33" s="75">
        <v>500</v>
      </c>
      <c r="D33" s="75" t="s">
        <v>956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13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1033</v>
      </c>
      <c r="B34" s="78" t="s">
        <v>1023</v>
      </c>
      <c r="C34" s="78">
        <v>140</v>
      </c>
      <c r="D34" s="78" t="s">
        <v>1035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13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960</v>
      </c>
      <c r="Z34" s="103">
        <f>Z32-AL12</f>
        <v>216670.28986301646</v>
      </c>
    </row>
    <row r="35" spans="1:26" x14ac:dyDescent="0.25">
      <c r="A35" s="78" t="s">
        <v>1033</v>
      </c>
      <c r="B35" s="78" t="s">
        <v>1023</v>
      </c>
      <c r="C35" s="78">
        <v>140</v>
      </c>
      <c r="D35" s="78" t="s">
        <v>956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13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1044</v>
      </c>
      <c r="B36" s="75" t="s">
        <v>961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ref="K36:K37" si="54">C36*E36*J36/100</f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 t="shared" ref="U36" si="55">C36*E36+K36-F36</f>
        <v>-33703.5</v>
      </c>
    </row>
    <row r="37" spans="1:26" x14ac:dyDescent="0.25">
      <c r="A37" s="75" t="s">
        <v>1044</v>
      </c>
      <c r="B37" s="75" t="s">
        <v>961</v>
      </c>
      <c r="C37" s="75">
        <v>100</v>
      </c>
      <c r="D37" s="75" t="s">
        <v>956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54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1044</v>
      </c>
      <c r="B38" s="78" t="s">
        <v>968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ref="K38:K55" si="56">C38*E38*J38/100</f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 t="shared" ref="U38" si="57">C38*E38+K38-F38</f>
        <v>-1252998.5</v>
      </c>
    </row>
    <row r="39" spans="1:26" x14ac:dyDescent="0.25">
      <c r="A39" s="78" t="s">
        <v>1044</v>
      </c>
      <c r="B39" s="78" t="s">
        <v>968</v>
      </c>
      <c r="C39" s="78">
        <v>500</v>
      </c>
      <c r="D39" s="78" t="s">
        <v>956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56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 t="shared" ref="Q39" si="58">M39*N39/C38</f>
        <v>216806.5</v>
      </c>
      <c r="R39" s="80">
        <f t="shared" ref="R39" si="59">M39*O39/C38</f>
        <v>216806.5</v>
      </c>
      <c r="S39" s="112">
        <f>M39*P39/C38</f>
        <v>0</v>
      </c>
      <c r="T39" s="78"/>
      <c r="U39" s="79">
        <f t="shared" ref="U39" si="60">-C39*E39+K39+F39</f>
        <v>1252949</v>
      </c>
    </row>
    <row r="40" spans="1:26" x14ac:dyDescent="0.25">
      <c r="A40" s="75" t="s">
        <v>1044</v>
      </c>
      <c r="B40" s="75" t="s">
        <v>945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2163.5375342465754</v>
      </c>
      <c r="J40" s="75">
        <v>7.2499999999999995E-2</v>
      </c>
      <c r="K40" s="75">
        <f>C40*E40*J40/100</f>
        <v>476.76</v>
      </c>
      <c r="L40" s="75">
        <f>(E40*(1+J40/100)+I40/C40)/(1-J41/100)-(U40/C40)*(G40/365)*($AE$2/100)</f>
        <v>82589.914880068871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1081</v>
      </c>
      <c r="B41" s="75" t="s">
        <v>945</v>
      </c>
      <c r="C41" s="75">
        <v>8</v>
      </c>
      <c r="D41" s="75" t="s">
        <v>956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>C41*E41*J41/100</f>
        <v>479.25399999999996</v>
      </c>
      <c r="L41" s="75">
        <v>19</v>
      </c>
      <c r="M41" s="76">
        <f t="shared" ref="M41" si="61"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1044</v>
      </c>
      <c r="B42" s="78" t="s">
        <v>971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187280.42301369863</v>
      </c>
      <c r="J42" s="78">
        <v>7.2499999999999995E-2</v>
      </c>
      <c r="K42" s="79">
        <f>C42*E42*J42/100</f>
        <v>117827.2175</v>
      </c>
      <c r="L42" s="78">
        <f>(E42*(1+J42/100)+I42/C42)/(1-J43/100)-(U42/C42)*(G42/365)*($AE$2/100)</f>
        <v>85778.80481263742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1082</v>
      </c>
      <c r="B43" s="78" t="s">
        <v>971</v>
      </c>
      <c r="C43" s="78">
        <v>1900</v>
      </c>
      <c r="D43" s="78" t="s">
        <v>956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>C43*E43*J43/100</f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 t="shared" ref="Q43" si="62">M43*N43/C42</f>
        <v>505161.5</v>
      </c>
      <c r="R43" s="80">
        <f t="shared" ref="R43" si="63">M43*O43/C42</f>
        <v>505161.5</v>
      </c>
      <c r="S43" s="112">
        <f>M43*P43/C42</f>
        <v>0</v>
      </c>
      <c r="T43" s="78"/>
      <c r="U43" s="79">
        <f t="shared" ref="U43" si="64">-C43*E43+K43+F43</f>
        <v>8813934.8725000024</v>
      </c>
    </row>
    <row r="44" spans="1:26" x14ac:dyDescent="0.25">
      <c r="A44" s="124" t="s">
        <v>1145</v>
      </c>
      <c r="B44" s="124" t="s">
        <v>1166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1167</v>
      </c>
      <c r="U44" s="76"/>
    </row>
    <row r="45" spans="1:26" x14ac:dyDescent="0.25">
      <c r="A45" s="124" t="s">
        <v>1145</v>
      </c>
      <c r="B45" s="124" t="s">
        <v>1168</v>
      </c>
      <c r="C45" s="124">
        <v>100</v>
      </c>
      <c r="D45" s="124" t="s">
        <v>956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 t="shared" ref="Q45" si="65">M45*N45/C44</f>
        <v>34252</v>
      </c>
      <c r="R45" s="124">
        <f t="shared" ref="R45" si="66">M45*O45/C44</f>
        <v>34252</v>
      </c>
      <c r="S45" s="125">
        <f>M45*P45/C44</f>
        <v>0</v>
      </c>
      <c r="T45" s="75"/>
      <c r="U45" s="76"/>
    </row>
    <row r="46" spans="1:26" x14ac:dyDescent="0.25">
      <c r="A46" s="78"/>
      <c r="B46" s="78"/>
      <c r="C46" s="78"/>
      <c r="D46" s="78"/>
      <c r="E46" s="79"/>
      <c r="F46" s="79"/>
      <c r="G46" s="78"/>
      <c r="H46" s="78"/>
      <c r="I46" s="79"/>
      <c r="J46" s="78">
        <v>7.2499999999999995E-2</v>
      </c>
      <c r="K46" s="79"/>
      <c r="L46" s="78"/>
      <c r="M46" s="80"/>
      <c r="N46" s="78"/>
      <c r="O46" s="78"/>
      <c r="P46" s="111"/>
      <c r="Q46" s="80"/>
      <c r="R46" s="80"/>
      <c r="S46" s="112"/>
      <c r="T46" s="78"/>
      <c r="U46" s="79"/>
    </row>
    <row r="47" spans="1:26" x14ac:dyDescent="0.25">
      <c r="A47" s="78"/>
      <c r="B47" s="78"/>
      <c r="C47" s="78"/>
      <c r="D47" s="78"/>
      <c r="E47" s="79"/>
      <c r="F47" s="79"/>
      <c r="G47" s="78"/>
      <c r="H47" s="78"/>
      <c r="I47" s="79"/>
      <c r="J47" s="78">
        <v>7.2499999999999995E-2</v>
      </c>
      <c r="K47" s="79"/>
      <c r="L47" s="78"/>
      <c r="M47" s="80"/>
      <c r="N47" s="78"/>
      <c r="O47" s="78"/>
      <c r="P47" s="111"/>
      <c r="Q47" s="80"/>
      <c r="R47" s="80"/>
      <c r="S47" s="112"/>
      <c r="T47" s="78"/>
      <c r="U47" s="79"/>
    </row>
    <row r="48" spans="1:26" x14ac:dyDescent="0.25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 x14ac:dyDescent="0.25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 t="shared" si="56"/>
        <v>0</v>
      </c>
      <c r="L52" s="75">
        <f t="shared" ref="L52" si="67"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 t="shared" ref="U52" si="68"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 t="shared" si="56"/>
        <v>0</v>
      </c>
      <c r="L53" s="75">
        <v>21</v>
      </c>
      <c r="M53" s="77">
        <f t="shared" ref="M53" si="69">F53-F52</f>
        <v>0</v>
      </c>
      <c r="N53" s="75">
        <v>50</v>
      </c>
      <c r="O53" s="75">
        <v>50</v>
      </c>
      <c r="P53" s="108"/>
      <c r="Q53" s="77">
        <f t="shared" ref="Q53" si="70">M53*N53/C52</f>
        <v>0</v>
      </c>
      <c r="R53" s="77">
        <f t="shared" ref="R53" si="71">M53*O53/C52</f>
        <v>0</v>
      </c>
      <c r="S53" s="110"/>
      <c r="T53" s="75"/>
      <c r="U53" s="87">
        <f t="shared" ref="U53" si="72"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 t="shared" si="56"/>
        <v>0</v>
      </c>
      <c r="L54" s="78">
        <f t="shared" ref="L54" si="73"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 t="shared" ref="U54" si="74"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 t="shared" si="56"/>
        <v>0</v>
      </c>
      <c r="L55" s="78">
        <v>22</v>
      </c>
      <c r="M55" s="78">
        <f t="shared" ref="M55" si="75">F55-F54</f>
        <v>0</v>
      </c>
      <c r="N55" s="78">
        <v>50</v>
      </c>
      <c r="O55" s="78">
        <v>50</v>
      </c>
      <c r="P55" s="111"/>
      <c r="Q55" s="78">
        <f t="shared" ref="Q55" si="76">M55*N55/C54</f>
        <v>0</v>
      </c>
      <c r="R55" s="78">
        <f t="shared" ref="R55" si="77">M55*O55/C54</f>
        <v>0</v>
      </c>
      <c r="S55" s="111"/>
      <c r="T55" s="78"/>
      <c r="U55" s="79">
        <f t="shared" ref="U55" si="78">-C55*E55+K55+F55</f>
        <v>0</v>
      </c>
    </row>
    <row r="56" spans="1:22" x14ac:dyDescent="0.25">
      <c r="A56" s="16" t="s">
        <v>1145</v>
      </c>
      <c r="B56" s="75" t="s">
        <v>945</v>
      </c>
      <c r="C56" s="75">
        <v>347</v>
      </c>
      <c r="D56" s="75" t="s">
        <v>61</v>
      </c>
      <c r="E56" s="76">
        <v>82535</v>
      </c>
      <c r="F56" s="76">
        <v>28660327</v>
      </c>
      <c r="G56" s="75">
        <v>8</v>
      </c>
      <c r="H56" s="75">
        <v>0</v>
      </c>
      <c r="I56" s="76">
        <f>F56*G56*($AE$2-H56)/(36500)</f>
        <v>125634.3101369863</v>
      </c>
      <c r="J56" s="75">
        <v>7.2499999999999995E-2</v>
      </c>
      <c r="K56" s="76">
        <f>C56*E56*J56/100</f>
        <v>20763.742624999999</v>
      </c>
      <c r="L56" s="75">
        <f>(E56*(1+J56/100)+I56/C56)/(1-J57/100)-(U56/C56)*(G56/365)*($AE$2/100)</f>
        <v>83017.082758769378</v>
      </c>
      <c r="M56" s="75"/>
      <c r="N56" s="75"/>
      <c r="O56" s="75"/>
      <c r="P56" s="108"/>
      <c r="Q56" s="75"/>
      <c r="R56" s="75"/>
      <c r="S56" s="108"/>
      <c r="T56" s="75">
        <v>83200</v>
      </c>
      <c r="U56" s="76">
        <f>C56*E56+K56-F56</f>
        <v>81.742625001817942</v>
      </c>
      <c r="V56" t="s">
        <v>25</v>
      </c>
    </row>
    <row r="57" spans="1:22" x14ac:dyDescent="0.25">
      <c r="A57" s="16"/>
      <c r="B57" s="75"/>
      <c r="C57" s="75">
        <v>347</v>
      </c>
      <c r="D57" s="75" t="s">
        <v>956</v>
      </c>
      <c r="E57" s="76">
        <v>83200</v>
      </c>
      <c r="F57" s="76">
        <f>C57*E57*(1-J57/100)</f>
        <v>28849468.960000001</v>
      </c>
      <c r="G57" s="75"/>
      <c r="H57" s="75"/>
      <c r="I57" s="75"/>
      <c r="J57" s="75">
        <v>7.2499999999999995E-2</v>
      </c>
      <c r="K57" s="75">
        <f>C57*E57*J57/100</f>
        <v>20931.039999999997</v>
      </c>
      <c r="L57" s="75">
        <v>20</v>
      </c>
      <c r="M57" s="77">
        <f>F57-F56</f>
        <v>189141.96000000089</v>
      </c>
      <c r="N57" s="75">
        <v>174.5</v>
      </c>
      <c r="O57" s="75">
        <v>131.5</v>
      </c>
      <c r="P57" s="108">
        <v>41</v>
      </c>
      <c r="Q57" s="76">
        <f t="shared" ref="Q57" si="79">M57*N57/C56</f>
        <v>95116.057694524949</v>
      </c>
      <c r="R57" s="76">
        <f t="shared" ref="R57" si="80">M57*O57/C56</f>
        <v>71677.716829971527</v>
      </c>
      <c r="S57" s="109">
        <f>M57*P57/C56</f>
        <v>22348.18547550443</v>
      </c>
      <c r="T57" s="75"/>
      <c r="U57" s="76">
        <f>-C57*E57+K57+F57</f>
        <v>0</v>
      </c>
    </row>
    <row r="58" spans="1:22" x14ac:dyDescent="0.25">
      <c r="A58" s="82" t="s">
        <v>1158</v>
      </c>
      <c r="B58" s="82"/>
      <c r="C58" s="82"/>
      <c r="D58" s="82"/>
      <c r="E58" s="76"/>
      <c r="F58" s="76"/>
      <c r="G58" s="82"/>
      <c r="H58" s="82"/>
      <c r="I58" s="82"/>
      <c r="J58" s="82"/>
      <c r="K58" s="76"/>
      <c r="L58" s="76"/>
      <c r="M58" s="76"/>
      <c r="N58" s="82"/>
      <c r="O58" s="82"/>
      <c r="P58" s="114"/>
      <c r="Q58" s="82"/>
      <c r="R58" s="82"/>
      <c r="S58" s="114"/>
      <c r="T58" s="82"/>
      <c r="U58" s="83"/>
    </row>
    <row r="59" spans="1:22" x14ac:dyDescent="0.25">
      <c r="A59" s="82" t="s">
        <v>25</v>
      </c>
      <c r="B59" s="82"/>
      <c r="C59" s="82"/>
      <c r="D59" s="82"/>
      <c r="E59" s="109"/>
      <c r="F59" s="109"/>
      <c r="G59" s="82"/>
      <c r="H59" s="82"/>
      <c r="I59" s="82"/>
      <c r="J59" s="82"/>
      <c r="K59" s="76"/>
      <c r="L59" s="76"/>
      <c r="M59" s="76"/>
      <c r="N59" s="82"/>
      <c r="O59" s="82"/>
      <c r="P59" s="114"/>
      <c r="Q59" s="76"/>
      <c r="R59" s="76"/>
      <c r="S59" s="109"/>
      <c r="T59" s="82"/>
      <c r="U59" s="83"/>
    </row>
    <row r="60" spans="1:22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06"/>
      <c r="Q60" s="16"/>
      <c r="R60" s="16"/>
      <c r="S60" s="106"/>
      <c r="T60" s="16"/>
      <c r="U60" s="14">
        <f t="shared" ref="U60" si="81">-C60*E60+K60+F60</f>
        <v>0</v>
      </c>
    </row>
    <row r="61" spans="1:22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06"/>
      <c r="Q61" s="16"/>
      <c r="R61" s="16"/>
      <c r="S61" s="106"/>
      <c r="T61" s="16"/>
      <c r="U61" s="14">
        <f t="shared" ref="U61" si="82">C61*E61+K61-F61</f>
        <v>0</v>
      </c>
    </row>
    <row r="62" spans="1:22" x14ac:dyDescent="0.25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 t="shared" ref="U62" si="83">-C62*E62+K62+F62</f>
        <v>0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 t="shared" ref="U63" si="84"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 t="shared" ref="U64" si="85"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 t="shared" ref="U65" si="86"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 t="shared" ref="U66" si="87"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 t="shared" ref="U67" si="88"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 t="shared" ref="U68" si="89"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257645.96000000089</v>
      </c>
      <c r="N70" s="11"/>
      <c r="O70" s="11"/>
      <c r="P70" s="105"/>
      <c r="Q70" s="3">
        <f>SUM(Q44:Q69)</f>
        <v>129368.05769452495</v>
      </c>
      <c r="R70" s="119">
        <f t="shared" ref="R70:S70" si="90">SUM(R44:R69)</f>
        <v>105929.71682997153</v>
      </c>
      <c r="S70" s="119">
        <f t="shared" si="90"/>
        <v>22348.18547550443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1031</v>
      </c>
      <c r="R71" s="11" t="s">
        <v>1032</v>
      </c>
      <c r="S71" s="105" t="s">
        <v>1165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1139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91">C83*D83</f>
        <v>35200000</v>
      </c>
      <c r="G83">
        <f t="shared" ref="G83:G90" si="92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956</v>
      </c>
      <c r="F84">
        <f t="shared" si="91"/>
        <v>176999900</v>
      </c>
      <c r="G84">
        <f t="shared" si="92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91"/>
        <v>35580000</v>
      </c>
      <c r="G85">
        <f t="shared" si="92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91"/>
        <v>142400000</v>
      </c>
      <c r="G86">
        <f t="shared" si="92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956</v>
      </c>
      <c r="F87">
        <f t="shared" si="91"/>
        <v>53220030</v>
      </c>
      <c r="G87">
        <f t="shared" si="92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956</v>
      </c>
      <c r="F88">
        <f t="shared" si="91"/>
        <v>17740000</v>
      </c>
      <c r="G88">
        <f t="shared" si="92"/>
        <v>22175</v>
      </c>
      <c r="H88">
        <f t="shared" ref="H88:H89" si="93">F88-G88</f>
        <v>17717825</v>
      </c>
      <c r="I88" s="25"/>
    </row>
    <row r="89" spans="3:14" x14ac:dyDescent="0.25">
      <c r="C89">
        <v>40</v>
      </c>
      <c r="D89">
        <v>1771000</v>
      </c>
      <c r="E89" t="s">
        <v>956</v>
      </c>
      <c r="F89">
        <f t="shared" si="91"/>
        <v>70840000</v>
      </c>
      <c r="G89">
        <f t="shared" si="92"/>
        <v>88550</v>
      </c>
      <c r="H89">
        <f t="shared" si="93"/>
        <v>70751450</v>
      </c>
      <c r="I89" s="28"/>
    </row>
    <row r="90" spans="3:14" x14ac:dyDescent="0.25">
      <c r="C90">
        <v>20</v>
      </c>
      <c r="D90">
        <v>1790000</v>
      </c>
      <c r="E90" t="s">
        <v>956</v>
      </c>
      <c r="F90">
        <f t="shared" si="91"/>
        <v>35800000</v>
      </c>
      <c r="G90">
        <f t="shared" si="92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P1" activePane="topRight" state="frozen"/>
      <selection pane="topRight" activeCell="AD20" sqref="AD20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1067</v>
      </c>
      <c r="M1" s="11" t="s">
        <v>979</v>
      </c>
      <c r="N1" s="11" t="s">
        <v>1057</v>
      </c>
      <c r="O1" s="11" t="s">
        <v>981</v>
      </c>
      <c r="P1" s="11" t="s">
        <v>1063</v>
      </c>
      <c r="Q1" s="11" t="s">
        <v>982</v>
      </c>
      <c r="R1" s="11" t="s">
        <v>1016</v>
      </c>
      <c r="S1" s="11" t="s">
        <v>993</v>
      </c>
      <c r="T1" s="11" t="s">
        <v>948</v>
      </c>
      <c r="U1" s="69" t="s">
        <v>1062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962</v>
      </c>
      <c r="AD1" t="s">
        <v>1021</v>
      </c>
      <c r="AE1" t="s">
        <v>1022</v>
      </c>
      <c r="AI1">
        <v>0.51500000000000001</v>
      </c>
      <c r="AJ1" t="s">
        <v>1048</v>
      </c>
      <c r="AL1" t="s">
        <v>1058</v>
      </c>
      <c r="AM1" t="s">
        <v>1059</v>
      </c>
    </row>
    <row r="2" spans="1:39" x14ac:dyDescent="0.25">
      <c r="A2" s="90" t="s">
        <v>972</v>
      </c>
      <c r="B2" s="91">
        <f>$S2/(1+($AC$2-$O2+$P2)/36500)^$N2</f>
        <v>93976.09602996512</v>
      </c>
      <c r="C2" s="91">
        <f>$S2/(1+($AC$3-$O2+$P2)/36500)^$N2</f>
        <v>94085.262770345274</v>
      </c>
      <c r="D2" s="91">
        <f>$S2/(1+($AC$4-$O2+$P2)/36500)^$N2</f>
        <v>94221.901228490169</v>
      </c>
      <c r="E2" s="91">
        <f>$S2/(1+($AC$5-$O2+$P2)/36500)^$N2</f>
        <v>94358.739999186044</v>
      </c>
      <c r="F2" s="91">
        <f>$S2/(1+($AC$6-$O2+$P2)/36500)^$N2</f>
        <v>94495.779378843508</v>
      </c>
      <c r="G2" s="91">
        <f>$S2/(1+($AC$7-$O2+$P2)/36500)^$N2</f>
        <v>94633.019664309468</v>
      </c>
      <c r="H2" s="91">
        <f>$S2/(1+($AC$8-$O2+$P2)/36500)^$N2</f>
        <v>94770.461152880598</v>
      </c>
      <c r="I2" s="91">
        <f>$S2/(1+($AC$9-$O2+$P2)/36500)^$N2</f>
        <v>94908.104142292388</v>
      </c>
      <c r="J2" s="91">
        <f>$S2/(1+($AC$10-$O2+$P2)/36500)^$N2</f>
        <v>95045.948930727289</v>
      </c>
      <c r="K2" s="91">
        <f>$S2/(1+($AC$11-$O2+$P2)/36500)^$N2</f>
        <v>95183.995816816954</v>
      </c>
      <c r="L2" s="91">
        <f>$S2/(1+($AC$5-$O2+$P2)/36500)^$N2</f>
        <v>94358.739999186044</v>
      </c>
      <c r="M2" s="90" t="s">
        <v>1002</v>
      </c>
      <c r="N2" s="90">
        <f>132-$AD$19</f>
        <v>106</v>
      </c>
      <c r="O2" s="90">
        <v>0</v>
      </c>
      <c r="P2" s="90">
        <v>0</v>
      </c>
      <c r="Q2" s="90">
        <v>0</v>
      </c>
      <c r="R2" s="90">
        <f t="shared" ref="R2:R29" si="0">N2/30.5</f>
        <v>3.4754098360655736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1049</v>
      </c>
    </row>
    <row r="3" spans="1:39" x14ac:dyDescent="0.25">
      <c r="A3" s="92" t="s">
        <v>973</v>
      </c>
      <c r="B3" s="93">
        <f t="shared" ref="B3:B29" si="2">$S3/(1+($AC$2-$O3+$P3)/36500)^$N3</f>
        <v>92067.860354410222</v>
      </c>
      <c r="C3" s="93">
        <f t="shared" ref="C3:C29" si="3">$S3/(1+($AC$3-$O3+$P3)/36500)^$N3</f>
        <v>92210.151377105722</v>
      </c>
      <c r="D3" s="93">
        <f t="shared" ref="D3:D29" si="4">$S3/(1+($AC$4-$O3+$P3)/36500)^$N3</f>
        <v>92388.326642664179</v>
      </c>
      <c r="E3" s="93">
        <f t="shared" ref="E3:E29" si="5">$S3/(1+($AC$5-$O3+$P3)/36500)^$N3</f>
        <v>92566.848638106676</v>
      </c>
      <c r="F3" s="93">
        <f t="shared" ref="F3:F29" si="6">$S3/(1+($AC$6-$O3+$P3)/36500)^$N3</f>
        <v>92745.71804293622</v>
      </c>
      <c r="G3" s="93">
        <f t="shared" ref="G3:G29" si="7">$S3/(1+($AC$7-$O3+$P3)/36500)^$N3</f>
        <v>92924.93553798816</v>
      </c>
      <c r="H3" s="93">
        <f t="shared" ref="H3:H29" si="8">$S3/(1+($AC$8-$O3+$P3)/36500)^$N3</f>
        <v>93104.501805450171</v>
      </c>
      <c r="I3" s="93">
        <f t="shared" ref="I3:I29" si="9">$S3/(1+($AC$9-$O3+$P3)/36500)^$N3</f>
        <v>93284.417528849401</v>
      </c>
      <c r="J3" s="93">
        <f t="shared" ref="J3:J29" si="10">$S3/(1+($AC$10-$O3+$P3)/36500)^$N3</f>
        <v>93464.683393064843</v>
      </c>
      <c r="K3" s="93">
        <f t="shared" ref="K3:K29" si="11">$S3/(1+($AC$11-$O3+$P3)/36500)^$N3</f>
        <v>93645.300084332237</v>
      </c>
      <c r="L3" s="93">
        <f t="shared" ref="L3:L29" si="12">$S3/(1+($AC$5-$O3+$P3)/36500)^$N3</f>
        <v>92566.848638106676</v>
      </c>
      <c r="M3" s="92" t="s">
        <v>1003</v>
      </c>
      <c r="N3" s="92">
        <f>167-$AD$19</f>
        <v>141</v>
      </c>
      <c r="O3" s="92">
        <v>0</v>
      </c>
      <c r="P3" s="92">
        <v>0</v>
      </c>
      <c r="Q3" s="92">
        <v>0</v>
      </c>
      <c r="R3" s="92">
        <f t="shared" si="0"/>
        <v>4.6229508196721314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4" t="s">
        <v>974</v>
      </c>
      <c r="B4" s="95">
        <f t="shared" si="2"/>
        <v>90516.138464824558</v>
      </c>
      <c r="C4" s="95">
        <f t="shared" si="3"/>
        <v>90684.830379681676</v>
      </c>
      <c r="D4" s="95">
        <f t="shared" si="4"/>
        <v>90896.140053221403</v>
      </c>
      <c r="E4" s="95">
        <f t="shared" si="5"/>
        <v>91107.945014129029</v>
      </c>
      <c r="F4" s="95">
        <f t="shared" si="6"/>
        <v>91320.246430115076</v>
      </c>
      <c r="G4" s="95">
        <f t="shared" si="7"/>
        <v>91533.045471649093</v>
      </c>
      <c r="H4" s="95">
        <f t="shared" si="8"/>
        <v>91746.343311986348</v>
      </c>
      <c r="I4" s="95">
        <f t="shared" si="9"/>
        <v>91960.141127156414</v>
      </c>
      <c r="J4" s="95">
        <f t="shared" si="10"/>
        <v>92174.440095981263</v>
      </c>
      <c r="K4" s="95">
        <f t="shared" si="11"/>
        <v>92389.241400084415</v>
      </c>
      <c r="L4" s="95">
        <f t="shared" si="12"/>
        <v>91107.945014129029</v>
      </c>
      <c r="M4" s="94" t="s">
        <v>1004</v>
      </c>
      <c r="N4" s="94">
        <f>196-$AD$19</f>
        <v>170</v>
      </c>
      <c r="O4" s="94">
        <v>0</v>
      </c>
      <c r="P4" s="94">
        <v>0</v>
      </c>
      <c r="Q4" s="94">
        <v>0</v>
      </c>
      <c r="R4" s="94">
        <f t="shared" si="0"/>
        <v>5.5737704918032787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0" t="s">
        <v>975</v>
      </c>
      <c r="B5" s="91">
        <f t="shared" si="2"/>
        <v>71389.13505210205</v>
      </c>
      <c r="C5" s="91">
        <f t="shared" si="3"/>
        <v>71840.141930677331</v>
      </c>
      <c r="D5" s="91">
        <f t="shared" si="4"/>
        <v>72407.916450846518</v>
      </c>
      <c r="E5" s="91">
        <f t="shared" si="5"/>
        <v>72980.186131690294</v>
      </c>
      <c r="F5" s="91">
        <f t="shared" si="6"/>
        <v>73556.986624395722</v>
      </c>
      <c r="G5" s="91">
        <f t="shared" si="7"/>
        <v>74138.353863366283</v>
      </c>
      <c r="H5" s="91">
        <f t="shared" si="8"/>
        <v>74724.324068531103</v>
      </c>
      <c r="I5" s="91">
        <f t="shared" si="9"/>
        <v>75314.933747567775</v>
      </c>
      <c r="J5" s="91">
        <f t="shared" si="10"/>
        <v>75910.219698223824</v>
      </c>
      <c r="K5" s="91">
        <f t="shared" si="11"/>
        <v>76510.219010632922</v>
      </c>
      <c r="L5" s="91">
        <f t="shared" si="12"/>
        <v>72980.186131690294</v>
      </c>
      <c r="M5" s="90" t="s">
        <v>1005</v>
      </c>
      <c r="N5" s="90">
        <f>601-$AD$19</f>
        <v>575</v>
      </c>
      <c r="O5" s="90">
        <v>0</v>
      </c>
      <c r="P5" s="90">
        <v>0</v>
      </c>
      <c r="Q5" s="90">
        <v>0</v>
      </c>
      <c r="R5" s="90">
        <f t="shared" si="0"/>
        <v>18.852459016393443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956</v>
      </c>
      <c r="AC5">
        <v>20</v>
      </c>
    </row>
    <row r="6" spans="1:39" x14ac:dyDescent="0.25">
      <c r="A6" s="92" t="s">
        <v>976</v>
      </c>
      <c r="B6" s="93">
        <f t="shared" si="2"/>
        <v>86572.508698035585</v>
      </c>
      <c r="C6" s="93">
        <f t="shared" si="3"/>
        <v>86806.077728951743</v>
      </c>
      <c r="D6" s="93">
        <f t="shared" si="4"/>
        <v>87098.928993069087</v>
      </c>
      <c r="E6" s="93">
        <f t="shared" si="5"/>
        <v>87392.772257642049</v>
      </c>
      <c r="F6" s="93">
        <f t="shared" si="6"/>
        <v>87687.610896616985</v>
      </c>
      <c r="G6" s="93">
        <f t="shared" si="7"/>
        <v>87983.448295448048</v>
      </c>
      <c r="H6" s="93">
        <f t="shared" si="8"/>
        <v>88280.287851164554</v>
      </c>
      <c r="I6" s="93">
        <f t="shared" si="9"/>
        <v>88578.132972385545</v>
      </c>
      <c r="J6" s="93">
        <f t="shared" si="10"/>
        <v>88876.987079375511</v>
      </c>
      <c r="K6" s="93">
        <f t="shared" si="11"/>
        <v>89176.85360408781</v>
      </c>
      <c r="L6" s="93">
        <f t="shared" si="12"/>
        <v>87392.772257642049</v>
      </c>
      <c r="M6" s="92" t="s">
        <v>1006</v>
      </c>
      <c r="N6" s="92">
        <f>272-$AD$19</f>
        <v>246</v>
      </c>
      <c r="O6" s="92">
        <v>0</v>
      </c>
      <c r="P6" s="92">
        <v>0</v>
      </c>
      <c r="Q6" s="92">
        <v>0</v>
      </c>
      <c r="R6" s="92">
        <f t="shared" si="0"/>
        <v>8.0655737704918025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4" t="s">
        <v>977</v>
      </c>
      <c r="B7" s="95">
        <f t="shared" si="2"/>
        <v>72570.41380141952</v>
      </c>
      <c r="C7" s="95">
        <f t="shared" si="3"/>
        <v>73006.491086921131</v>
      </c>
      <c r="D7" s="95">
        <f t="shared" si="4"/>
        <v>73555.281259605763</v>
      </c>
      <c r="E7" s="95">
        <f t="shared" si="5"/>
        <v>74108.204289227651</v>
      </c>
      <c r="F7" s="95">
        <f t="shared" si="6"/>
        <v>74665.291356952381</v>
      </c>
      <c r="G7" s="95">
        <f t="shared" si="7"/>
        <v>75226.573879603078</v>
      </c>
      <c r="H7" s="95">
        <f t="shared" si="8"/>
        <v>75792.083511498262</v>
      </c>
      <c r="I7" s="95">
        <f t="shared" si="9"/>
        <v>76361.852146202451</v>
      </c>
      <c r="J7" s="95">
        <f t="shared" si="10"/>
        <v>76935.911918367972</v>
      </c>
      <c r="K7" s="95">
        <f t="shared" si="11"/>
        <v>77514.295205567963</v>
      </c>
      <c r="L7" s="95">
        <f t="shared" si="12"/>
        <v>74108.204289227651</v>
      </c>
      <c r="M7" s="94" t="s">
        <v>1007</v>
      </c>
      <c r="N7" s="94">
        <f>573-$AD$19</f>
        <v>547</v>
      </c>
      <c r="O7" s="94">
        <v>0</v>
      </c>
      <c r="P7" s="94">
        <v>0</v>
      </c>
      <c r="Q7" s="94">
        <v>0</v>
      </c>
      <c r="R7" s="94">
        <f t="shared" si="0"/>
        <v>17.934426229508198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0" t="s">
        <v>978</v>
      </c>
      <c r="B8" s="91">
        <f t="shared" si="2"/>
        <v>85865.017545415962</v>
      </c>
      <c r="C8" s="91">
        <f t="shared" si="3"/>
        <v>86109.880492275523</v>
      </c>
      <c r="D8" s="91">
        <f t="shared" si="4"/>
        <v>86416.945156233298</v>
      </c>
      <c r="E8" s="91">
        <f t="shared" si="5"/>
        <v>86725.109028013409</v>
      </c>
      <c r="F8" s="91">
        <f t="shared" si="6"/>
        <v>87034.376057617585</v>
      </c>
      <c r="G8" s="91">
        <f t="shared" si="7"/>
        <v>87344.750209281541</v>
      </c>
      <c r="H8" s="91">
        <f t="shared" si="8"/>
        <v>87656.235461555902</v>
      </c>
      <c r="I8" s="91">
        <f t="shared" si="9"/>
        <v>87968.83580733175</v>
      </c>
      <c r="J8" s="91">
        <f t="shared" si="10"/>
        <v>88282.555253909057</v>
      </c>
      <c r="K8" s="91">
        <f t="shared" si="11"/>
        <v>88597.397823052859</v>
      </c>
      <c r="L8" s="91">
        <f t="shared" si="12"/>
        <v>86725.109028013409</v>
      </c>
      <c r="M8" s="90" t="s">
        <v>1009</v>
      </c>
      <c r="N8" s="90">
        <f>286-$AD$19</f>
        <v>260</v>
      </c>
      <c r="O8" s="90">
        <v>0</v>
      </c>
      <c r="P8" s="90">
        <v>0</v>
      </c>
      <c r="Q8" s="90">
        <v>0</v>
      </c>
      <c r="R8" s="90">
        <f t="shared" si="0"/>
        <v>8.5245901639344268</v>
      </c>
      <c r="S8" s="91">
        <v>100000</v>
      </c>
      <c r="T8" s="91">
        <v>86700</v>
      </c>
      <c r="U8" s="91">
        <f t="shared" si="13"/>
        <v>100000.00000000001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2" t="s">
        <v>994</v>
      </c>
      <c r="B9" s="93">
        <f t="shared" si="2"/>
        <v>77131.733895272264</v>
      </c>
      <c r="C9" s="93">
        <f t="shared" si="3"/>
        <v>77506.884622030513</v>
      </c>
      <c r="D9" s="93">
        <f t="shared" si="4"/>
        <v>77978.395804625019</v>
      </c>
      <c r="E9" s="93">
        <f t="shared" si="5"/>
        <v>78452.781928093711</v>
      </c>
      <c r="F9" s="93">
        <f t="shared" si="6"/>
        <v>78930.060561520033</v>
      </c>
      <c r="G9" s="93">
        <f t="shared" si="7"/>
        <v>79410.249381574104</v>
      </c>
      <c r="H9" s="93">
        <f t="shared" si="8"/>
        <v>79893.366173218543</v>
      </c>
      <c r="I9" s="93">
        <f t="shared" si="9"/>
        <v>80379.428830332501</v>
      </c>
      <c r="J9" s="93">
        <f t="shared" si="10"/>
        <v>80868.45535640599</v>
      </c>
      <c r="K9" s="93">
        <f t="shared" si="11"/>
        <v>81360.463865218873</v>
      </c>
      <c r="L9" s="93">
        <f t="shared" si="12"/>
        <v>78452.781928093711</v>
      </c>
      <c r="M9" s="92" t="s">
        <v>1008</v>
      </c>
      <c r="N9" s="92">
        <f>469-$AD$19</f>
        <v>443</v>
      </c>
      <c r="O9" s="92">
        <v>0</v>
      </c>
      <c r="P9" s="92">
        <v>0</v>
      </c>
      <c r="Q9" s="92">
        <v>0</v>
      </c>
      <c r="R9" s="92">
        <f t="shared" si="0"/>
        <v>14.524590163934427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4" t="s">
        <v>995</v>
      </c>
      <c r="B10" s="95">
        <f t="shared" si="2"/>
        <v>77131.733895272264</v>
      </c>
      <c r="C10" s="95">
        <f t="shared" si="3"/>
        <v>77506.884622030513</v>
      </c>
      <c r="D10" s="95">
        <f t="shared" si="4"/>
        <v>77978.395804625019</v>
      </c>
      <c r="E10" s="95">
        <f t="shared" si="5"/>
        <v>78452.781928093711</v>
      </c>
      <c r="F10" s="95">
        <f t="shared" si="6"/>
        <v>78930.060561520033</v>
      </c>
      <c r="G10" s="95">
        <f t="shared" si="7"/>
        <v>79410.249381574104</v>
      </c>
      <c r="H10" s="95">
        <f t="shared" si="8"/>
        <v>79893.366173218543</v>
      </c>
      <c r="I10" s="95">
        <f t="shared" si="9"/>
        <v>80379.428830332501</v>
      </c>
      <c r="J10" s="95">
        <f t="shared" si="10"/>
        <v>80868.45535640599</v>
      </c>
      <c r="K10" s="95">
        <f t="shared" si="11"/>
        <v>81360.463865218873</v>
      </c>
      <c r="L10" s="95">
        <f t="shared" si="12"/>
        <v>78452.781928093711</v>
      </c>
      <c r="M10" s="94" t="s">
        <v>1008</v>
      </c>
      <c r="N10" s="94">
        <f>469-$AD$19</f>
        <v>443</v>
      </c>
      <c r="O10" s="94">
        <v>0</v>
      </c>
      <c r="P10" s="94">
        <v>0</v>
      </c>
      <c r="Q10" s="94">
        <v>0</v>
      </c>
      <c r="R10" s="94">
        <f t="shared" si="0"/>
        <v>14.524590163934427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0" t="s">
        <v>996</v>
      </c>
      <c r="B11" s="91">
        <f t="shared" si="2"/>
        <v>70515.811891394638</v>
      </c>
      <c r="C11" s="91">
        <f t="shared" si="3"/>
        <v>70977.624694683356</v>
      </c>
      <c r="D11" s="91">
        <f t="shared" si="4"/>
        <v>71559.153334971343</v>
      </c>
      <c r="E11" s="91">
        <f t="shared" si="5"/>
        <v>72145.454572576287</v>
      </c>
      <c r="F11" s="91">
        <f t="shared" si="6"/>
        <v>72736.567642298323</v>
      </c>
      <c r="G11" s="91">
        <f t="shared" si="7"/>
        <v>73332.532101996476</v>
      </c>
      <c r="H11" s="91">
        <f t="shared" si="8"/>
        <v>73933.387835309797</v>
      </c>
      <c r="I11" s="91">
        <f t="shared" si="9"/>
        <v>74539.175054294115</v>
      </c>
      <c r="J11" s="91">
        <f t="shared" si="10"/>
        <v>75149.934302162845</v>
      </c>
      <c r="K11" s="91">
        <f t="shared" si="11"/>
        <v>75765.706456026644</v>
      </c>
      <c r="L11" s="91">
        <f t="shared" si="12"/>
        <v>72145.454572576287</v>
      </c>
      <c r="M11" s="90" t="s">
        <v>1012</v>
      </c>
      <c r="N11" s="90">
        <f>622-$AD$19</f>
        <v>596</v>
      </c>
      <c r="O11" s="90">
        <v>0</v>
      </c>
      <c r="P11" s="90">
        <v>0</v>
      </c>
      <c r="Q11" s="90">
        <v>0</v>
      </c>
      <c r="R11" s="90">
        <f t="shared" si="0"/>
        <v>19.540983606557376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2" t="s">
        <v>997</v>
      </c>
      <c r="B12" s="93">
        <f>$S12/(1+($AC$2-$O12+$P12)/36500)^$N12</f>
        <v>87234.683461837456</v>
      </c>
      <c r="C12" s="93">
        <f>$S12/(1+($AC$3-$O12+$P12)/36500)^$N12</f>
        <v>87457.585648036547</v>
      </c>
      <c r="D12" s="93">
        <f t="shared" si="4"/>
        <v>87737.017943530198</v>
      </c>
      <c r="E12" s="93">
        <f t="shared" si="5"/>
        <v>88017.346886233718</v>
      </c>
      <c r="F12" s="93">
        <f t="shared" si="6"/>
        <v>88298.575365665893</v>
      </c>
      <c r="G12" s="93">
        <f t="shared" si="7"/>
        <v>88580.706280683531</v>
      </c>
      <c r="H12" s="93">
        <f t="shared" si="8"/>
        <v>88863.742539538711</v>
      </c>
      <c r="I12" s="93">
        <f t="shared" si="9"/>
        <v>89147.687059885109</v>
      </c>
      <c r="J12" s="93">
        <f t="shared" si="10"/>
        <v>89432.542768823958</v>
      </c>
      <c r="K12" s="93">
        <f t="shared" si="11"/>
        <v>89718.312602937993</v>
      </c>
      <c r="L12" s="93">
        <f t="shared" si="12"/>
        <v>88017.346886233718</v>
      </c>
      <c r="M12" s="92" t="s">
        <v>1013</v>
      </c>
      <c r="N12" s="92">
        <f>259-$AD$19</f>
        <v>233</v>
      </c>
      <c r="O12" s="92">
        <v>0</v>
      </c>
      <c r="P12" s="92">
        <v>0</v>
      </c>
      <c r="Q12" s="92">
        <v>0</v>
      </c>
      <c r="R12" s="92">
        <f t="shared" si="0"/>
        <v>7.639344262295082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4" t="s">
        <v>998</v>
      </c>
      <c r="B13" s="95">
        <f t="shared" si="2"/>
        <v>67959.422857955709</v>
      </c>
      <c r="C13" s="95">
        <f t="shared" si="3"/>
        <v>68451.709782546895</v>
      </c>
      <c r="D13" s="95">
        <f t="shared" si="4"/>
        <v>69072.093891974902</v>
      </c>
      <c r="E13" s="95">
        <f t="shared" si="5"/>
        <v>69698.109208749011</v>
      </c>
      <c r="F13" s="95">
        <f t="shared" si="6"/>
        <v>70329.806925327648</v>
      </c>
      <c r="G13" s="95">
        <f t="shared" si="7"/>
        <v>70967.238700232381</v>
      </c>
      <c r="H13" s="95">
        <f t="shared" si="8"/>
        <v>71610.456662358178</v>
      </c>
      <c r="I13" s="95">
        <f t="shared" si="9"/>
        <v>72259.51341520829</v>
      </c>
      <c r="J13" s="95">
        <f t="shared" si="10"/>
        <v>72914.462041256425</v>
      </c>
      <c r="K13" s="95">
        <f t="shared" si="11"/>
        <v>73575.356106322826</v>
      </c>
      <c r="L13" s="95">
        <f t="shared" si="12"/>
        <v>69698.109208749011</v>
      </c>
      <c r="M13" s="94" t="s">
        <v>1014</v>
      </c>
      <c r="N13" s="94">
        <f>685-$AD$19</f>
        <v>659</v>
      </c>
      <c r="O13" s="94">
        <v>0</v>
      </c>
      <c r="P13" s="94">
        <v>0</v>
      </c>
      <c r="Q13" s="94">
        <v>0</v>
      </c>
      <c r="R13" s="94">
        <f t="shared" si="0"/>
        <v>21.606557377049182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0" t="s">
        <v>999</v>
      </c>
      <c r="B14" s="91">
        <f t="shared" si="2"/>
        <v>69083.950028363266</v>
      </c>
      <c r="C14" s="91">
        <f t="shared" si="3"/>
        <v>69563.046589556005</v>
      </c>
      <c r="D14" s="91">
        <f t="shared" si="4"/>
        <v>70166.599764861909</v>
      </c>
      <c r="E14" s="91">
        <f t="shared" si="5"/>
        <v>70775.39794834776</v>
      </c>
      <c r="F14" s="91">
        <f t="shared" si="6"/>
        <v>71389.486793035612</v>
      </c>
      <c r="G14" s="91">
        <f t="shared" si="7"/>
        <v>72008.912349919498</v>
      </c>
      <c r="H14" s="91">
        <f t="shared" si="8"/>
        <v>72633.721071498905</v>
      </c>
      <c r="I14" s="91">
        <f t="shared" si="9"/>
        <v>73263.959815232069</v>
      </c>
      <c r="J14" s="91">
        <f t="shared" si="10"/>
        <v>73899.675847105333</v>
      </c>
      <c r="K14" s="91">
        <f t="shared" si="11"/>
        <v>74540.916845208703</v>
      </c>
      <c r="L14" s="91">
        <f t="shared" si="12"/>
        <v>70775.39794834776</v>
      </c>
      <c r="M14" s="90" t="s">
        <v>1015</v>
      </c>
      <c r="N14" s="90">
        <f>657-$AD$19</f>
        <v>631</v>
      </c>
      <c r="O14" s="90">
        <v>0</v>
      </c>
      <c r="P14" s="90">
        <v>0</v>
      </c>
      <c r="Q14" s="90">
        <v>0</v>
      </c>
      <c r="R14" s="90">
        <f t="shared" si="0"/>
        <v>20.688524590163933</v>
      </c>
      <c r="S14" s="91">
        <v>100000</v>
      </c>
      <c r="T14" s="91">
        <v>70700</v>
      </c>
      <c r="U14" s="91">
        <f t="shared" si="13"/>
        <v>99999.999999999985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2" t="s">
        <v>1000</v>
      </c>
      <c r="B15" s="93">
        <f t="shared" si="2"/>
        <v>69083.950028363266</v>
      </c>
      <c r="C15" s="93">
        <f t="shared" si="3"/>
        <v>69563.046589556005</v>
      </c>
      <c r="D15" s="93">
        <f t="shared" si="4"/>
        <v>70166.599764861909</v>
      </c>
      <c r="E15" s="93">
        <f t="shared" si="5"/>
        <v>70775.39794834776</v>
      </c>
      <c r="F15" s="93">
        <f t="shared" si="6"/>
        <v>71389.486793035612</v>
      </c>
      <c r="G15" s="93">
        <f t="shared" si="7"/>
        <v>72008.912349919498</v>
      </c>
      <c r="H15" s="93">
        <f t="shared" si="8"/>
        <v>72633.721071498905</v>
      </c>
      <c r="I15" s="93">
        <f t="shared" si="9"/>
        <v>73263.959815232069</v>
      </c>
      <c r="J15" s="93">
        <f t="shared" si="10"/>
        <v>73899.675847105333</v>
      </c>
      <c r="K15" s="93">
        <f t="shared" si="11"/>
        <v>74540.916845208703</v>
      </c>
      <c r="L15" s="93">
        <f t="shared" si="12"/>
        <v>70775.39794834776</v>
      </c>
      <c r="M15" s="92" t="s">
        <v>1015</v>
      </c>
      <c r="N15" s="92">
        <f>657-$AD$19</f>
        <v>631</v>
      </c>
      <c r="O15" s="92">
        <v>0</v>
      </c>
      <c r="P15" s="92">
        <v>0</v>
      </c>
      <c r="Q15" s="92">
        <v>0</v>
      </c>
      <c r="R15" s="92">
        <f t="shared" si="0"/>
        <v>20.688524590163933</v>
      </c>
      <c r="S15" s="93">
        <v>100000</v>
      </c>
      <c r="T15" s="93">
        <v>71000</v>
      </c>
      <c r="U15" s="93">
        <f t="shared" si="13"/>
        <v>99999.999999999985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 x14ac:dyDescent="0.25">
      <c r="A16" s="94" t="s">
        <v>1001</v>
      </c>
      <c r="B16" s="95">
        <f t="shared" si="2"/>
        <v>71389.13505210205</v>
      </c>
      <c r="C16" s="95">
        <f t="shared" si="3"/>
        <v>71840.141930677331</v>
      </c>
      <c r="D16" s="95">
        <f t="shared" si="4"/>
        <v>72407.916450846518</v>
      </c>
      <c r="E16" s="95">
        <f t="shared" si="5"/>
        <v>72980.186131690294</v>
      </c>
      <c r="F16" s="95">
        <f t="shared" si="6"/>
        <v>73556.986624395722</v>
      </c>
      <c r="G16" s="95">
        <f t="shared" si="7"/>
        <v>74138.353863366283</v>
      </c>
      <c r="H16" s="95">
        <f t="shared" si="8"/>
        <v>74724.324068531103</v>
      </c>
      <c r="I16" s="95">
        <f t="shared" si="9"/>
        <v>75314.933747567775</v>
      </c>
      <c r="J16" s="95">
        <f t="shared" si="10"/>
        <v>75910.219698223824</v>
      </c>
      <c r="K16" s="95">
        <f t="shared" si="11"/>
        <v>76510.219010632922</v>
      </c>
      <c r="L16" s="95">
        <f t="shared" si="12"/>
        <v>72980.186131690294</v>
      </c>
      <c r="M16" s="94" t="s">
        <v>1005</v>
      </c>
      <c r="N16" s="94">
        <f>601-$AD$19</f>
        <v>575</v>
      </c>
      <c r="O16" s="94">
        <v>0</v>
      </c>
      <c r="P16" s="94">
        <v>0</v>
      </c>
      <c r="Q16" s="94">
        <v>0</v>
      </c>
      <c r="R16" s="94">
        <f t="shared" si="0"/>
        <v>18.852459016393443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0" t="s">
        <v>1019</v>
      </c>
      <c r="B17" s="91">
        <f t="shared" si="2"/>
        <v>83065.397647388687</v>
      </c>
      <c r="C17" s="91">
        <f t="shared" si="3"/>
        <v>84322.685032525464</v>
      </c>
      <c r="D17" s="91">
        <f t="shared" si="4"/>
        <v>85921.109378538269</v>
      </c>
      <c r="E17" s="91">
        <f t="shared" si="5"/>
        <v>87549.856042466141</v>
      </c>
      <c r="F17" s="91">
        <f t="shared" si="6"/>
        <v>89209.500669769201</v>
      </c>
      <c r="G17" s="91">
        <f t="shared" si="7"/>
        <v>90900.629842287191</v>
      </c>
      <c r="H17" s="91">
        <f t="shared" si="8"/>
        <v>92623.841286090668</v>
      </c>
      <c r="I17" s="91">
        <f t="shared" si="9"/>
        <v>94379.744083205427</v>
      </c>
      <c r="J17" s="91">
        <f t="shared" si="10"/>
        <v>96168.958887861212</v>
      </c>
      <c r="K17" s="91">
        <f t="shared" si="11"/>
        <v>97992.118146159759</v>
      </c>
      <c r="L17" s="91">
        <f t="shared" si="12"/>
        <v>87549.856042466141</v>
      </c>
      <c r="M17" s="90" t="s">
        <v>1020</v>
      </c>
      <c r="N17" s="90">
        <f>1397-$AD$19</f>
        <v>1371</v>
      </c>
      <c r="O17" s="90">
        <v>17</v>
      </c>
      <c r="P17" s="90">
        <f>$AI$2</f>
        <v>0.54</v>
      </c>
      <c r="Q17" s="90">
        <v>6</v>
      </c>
      <c r="R17" s="90">
        <f t="shared" si="0"/>
        <v>44.950819672131146</v>
      </c>
      <c r="S17" s="91">
        <v>100000</v>
      </c>
      <c r="T17" s="91">
        <v>96000</v>
      </c>
      <c r="U17" s="91">
        <f t="shared" si="13"/>
        <v>185529.12002863127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2" t="s">
        <v>967</v>
      </c>
      <c r="B18" s="93">
        <f>$S18/(1+($AC$2-$O18+$P18)/36500)^$N18</f>
        <v>98660.385752682603</v>
      </c>
      <c r="C18" s="93">
        <f t="shared" si="3"/>
        <v>99243.783280786171</v>
      </c>
      <c r="D18" s="93">
        <f>$S18/(1+($AC$4-$O18+$P18)/36500)^$N18</f>
        <v>99977.892859493251</v>
      </c>
      <c r="E18" s="93">
        <f t="shared" si="5"/>
        <v>100717.44283938417</v>
      </c>
      <c r="F18" s="93">
        <f t="shared" si="6"/>
        <v>101462.47361400932</v>
      </c>
      <c r="G18" s="93">
        <f t="shared" si="7"/>
        <v>102213.02587737585</v>
      </c>
      <c r="H18" s="93">
        <f t="shared" si="8"/>
        <v>102969.14062621321</v>
      </c>
      <c r="I18" s="93">
        <f t="shared" si="9"/>
        <v>103730.85916219396</v>
      </c>
      <c r="J18" s="93">
        <f t="shared" si="10"/>
        <v>104498.2230942586</v>
      </c>
      <c r="K18" s="93">
        <f t="shared" si="11"/>
        <v>105271.27434086186</v>
      </c>
      <c r="L18" s="93">
        <f t="shared" si="12"/>
        <v>100717.44283938417</v>
      </c>
      <c r="M18" s="92" t="s">
        <v>986</v>
      </c>
      <c r="N18" s="92">
        <f>564-$AD$19</f>
        <v>538</v>
      </c>
      <c r="O18" s="92">
        <v>21</v>
      </c>
      <c r="P18" s="92">
        <f t="shared" ref="P18:P23" si="17">$AI$1</f>
        <v>0.51500000000000001</v>
      </c>
      <c r="Q18" s="92">
        <v>3</v>
      </c>
      <c r="R18" s="92">
        <f t="shared" si="0"/>
        <v>17.639344262295083</v>
      </c>
      <c r="S18" s="93">
        <v>100000</v>
      </c>
      <c r="T18" s="93">
        <v>100000</v>
      </c>
      <c r="U18" s="93">
        <f t="shared" si="13"/>
        <v>135235.97429384806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1017</v>
      </c>
      <c r="AD18" t="s">
        <v>1056</v>
      </c>
      <c r="AF18" s="26"/>
    </row>
    <row r="19" spans="1:32" x14ac:dyDescent="0.25">
      <c r="A19" s="94" t="s">
        <v>968</v>
      </c>
      <c r="B19" s="95">
        <f t="shared" si="2"/>
        <v>91399.230727765214</v>
      </c>
      <c r="C19" s="95">
        <f t="shared" si="3"/>
        <v>91956.744820112785</v>
      </c>
      <c r="D19" s="95">
        <f t="shared" si="4"/>
        <v>92658.430789746621</v>
      </c>
      <c r="E19" s="95">
        <f t="shared" si="5"/>
        <v>93365.480771781207</v>
      </c>
      <c r="F19" s="95">
        <f t="shared" si="6"/>
        <v>94077.935845497545</v>
      </c>
      <c r="G19" s="95">
        <f t="shared" si="7"/>
        <v>94795.837405394428</v>
      </c>
      <c r="H19" s="95">
        <f t="shared" si="8"/>
        <v>95519.227163518648</v>
      </c>
      <c r="I19" s="95">
        <f t="shared" si="9"/>
        <v>96248.147151974932</v>
      </c>
      <c r="J19" s="95">
        <f t="shared" si="10"/>
        <v>96982.639725363159</v>
      </c>
      <c r="K19" s="95">
        <f t="shared" si="11"/>
        <v>97722.747563223427</v>
      </c>
      <c r="L19" s="95">
        <f t="shared" si="12"/>
        <v>93365.480771781207</v>
      </c>
      <c r="M19" s="94" t="s">
        <v>987</v>
      </c>
      <c r="N19" s="94">
        <f>581-$AD$19</f>
        <v>555</v>
      </c>
      <c r="O19" s="94">
        <v>16</v>
      </c>
      <c r="P19" s="94">
        <f t="shared" si="17"/>
        <v>0.51500000000000001</v>
      </c>
      <c r="Q19" s="94">
        <v>3</v>
      </c>
      <c r="R19" s="94">
        <f t="shared" si="0"/>
        <v>18.196721311475411</v>
      </c>
      <c r="S19" s="95">
        <v>100000</v>
      </c>
      <c r="T19" s="95">
        <v>92000</v>
      </c>
      <c r="U19" s="95">
        <f t="shared" si="13"/>
        <v>126537.53316136985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1065</v>
      </c>
      <c r="AD19">
        <v>26</v>
      </c>
      <c r="AF19" s="26"/>
    </row>
    <row r="20" spans="1:32" x14ac:dyDescent="0.25">
      <c r="A20" s="90" t="s">
        <v>961</v>
      </c>
      <c r="B20" s="91">
        <f>$S20/(1+($AC$2-$O20+$P20)/36500)^$N20</f>
        <v>98489.879959391736</v>
      </c>
      <c r="C20" s="91">
        <f t="shared" si="3"/>
        <v>99147.211038433597</v>
      </c>
      <c r="D20" s="91">
        <f t="shared" si="4"/>
        <v>99975.057910705844</v>
      </c>
      <c r="E20" s="91">
        <f t="shared" si="5"/>
        <v>100809.82851706451</v>
      </c>
      <c r="F20" s="91">
        <f t="shared" si="6"/>
        <v>101651.58086051708</v>
      </c>
      <c r="G20" s="91">
        <f t="shared" si="7"/>
        <v>102500.37343077475</v>
      </c>
      <c r="H20" s="91">
        <f t="shared" si="8"/>
        <v>103356.26520837322</v>
      </c>
      <c r="I20" s="91">
        <f t="shared" si="9"/>
        <v>104219.3156687584</v>
      </c>
      <c r="J20" s="91">
        <f t="shared" si="10"/>
        <v>105089.58478650532</v>
      </c>
      <c r="K20" s="91">
        <f t="shared" si="11"/>
        <v>105967.13303946398</v>
      </c>
      <c r="L20" s="91">
        <f t="shared" si="12"/>
        <v>100809.82851706451</v>
      </c>
      <c r="M20" s="90" t="s">
        <v>988</v>
      </c>
      <c r="N20" s="90">
        <f>633-$AD$19</f>
        <v>607</v>
      </c>
      <c r="O20" s="90">
        <v>21</v>
      </c>
      <c r="P20" s="90">
        <f t="shared" si="17"/>
        <v>0.51500000000000001</v>
      </c>
      <c r="Q20" s="90">
        <v>3</v>
      </c>
      <c r="R20" s="90">
        <f t="shared" si="0"/>
        <v>19.901639344262296</v>
      </c>
      <c r="S20" s="91">
        <v>100000</v>
      </c>
      <c r="T20" s="91">
        <v>100000</v>
      </c>
      <c r="U20" s="91">
        <f t="shared" si="13"/>
        <v>140574.05696258188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2" t="s">
        <v>954</v>
      </c>
      <c r="B21" s="93">
        <f t="shared" si="2"/>
        <v>98322.13356173833</v>
      </c>
      <c r="C21" s="93">
        <f t="shared" si="3"/>
        <v>99052.13033383117</v>
      </c>
      <c r="D21" s="93">
        <f t="shared" si="4"/>
        <v>99972.264126780719</v>
      </c>
      <c r="E21" s="93">
        <f t="shared" si="5"/>
        <v>100900.95818132068</v>
      </c>
      <c r="F21" s="93">
        <f t="shared" si="6"/>
        <v>101838.29225487199</v>
      </c>
      <c r="G21" s="93">
        <f t="shared" si="7"/>
        <v>102784.34684905915</v>
      </c>
      <c r="H21" s="93">
        <f t="shared" si="8"/>
        <v>103739.20321669779</v>
      </c>
      <c r="I21" s="93">
        <f t="shared" si="9"/>
        <v>104702.94336877033</v>
      </c>
      <c r="J21" s="93">
        <f t="shared" si="10"/>
        <v>105675.65008157707</v>
      </c>
      <c r="K21" s="93">
        <f t="shared" si="11"/>
        <v>106657.40690383302</v>
      </c>
      <c r="L21" s="93">
        <f t="shared" si="12"/>
        <v>100900.95818132068</v>
      </c>
      <c r="M21" s="92" t="s">
        <v>989</v>
      </c>
      <c r="N21" s="92">
        <f>701-$AD$19</f>
        <v>675</v>
      </c>
      <c r="O21" s="92">
        <v>21</v>
      </c>
      <c r="P21" s="92">
        <f t="shared" si="17"/>
        <v>0.51500000000000001</v>
      </c>
      <c r="Q21" s="92">
        <v>3</v>
      </c>
      <c r="R21" s="92">
        <f t="shared" si="0"/>
        <v>22.131147540983605</v>
      </c>
      <c r="S21" s="93">
        <v>100000</v>
      </c>
      <c r="T21" s="93">
        <v>100000</v>
      </c>
      <c r="U21" s="93">
        <f t="shared" si="13"/>
        <v>146040.88544497179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4" t="s">
        <v>969</v>
      </c>
      <c r="B22" s="95">
        <f t="shared" si="2"/>
        <v>92747.199924956309</v>
      </c>
      <c r="C22" s="95">
        <f t="shared" si="3"/>
        <v>93463.396586988383</v>
      </c>
      <c r="D22" s="95">
        <f t="shared" si="4"/>
        <v>94366.435852349663</v>
      </c>
      <c r="E22" s="95">
        <f t="shared" si="5"/>
        <v>95278.212792861479</v>
      </c>
      <c r="F22" s="95">
        <f t="shared" si="6"/>
        <v>96198.812074426256</v>
      </c>
      <c r="G22" s="95">
        <f t="shared" si="7"/>
        <v>97128.319184477543</v>
      </c>
      <c r="H22" s="95">
        <f t="shared" si="8"/>
        <v>98066.820440041221</v>
      </c>
      <c r="I22" s="95">
        <f t="shared" si="9"/>
        <v>99014.402995706288</v>
      </c>
      <c r="J22" s="95">
        <f t="shared" si="10"/>
        <v>99971.154851876141</v>
      </c>
      <c r="K22" s="95">
        <f t="shared" si="11"/>
        <v>100937.1648628713</v>
      </c>
      <c r="L22" s="95">
        <f t="shared" si="12"/>
        <v>95278.212792861479</v>
      </c>
      <c r="M22" s="94" t="s">
        <v>1018</v>
      </c>
      <c r="N22" s="94">
        <f>728-$AD$19</f>
        <v>702</v>
      </c>
      <c r="O22" s="94">
        <v>18</v>
      </c>
      <c r="P22" s="94">
        <f t="shared" si="17"/>
        <v>0.51500000000000001</v>
      </c>
      <c r="Q22" s="94">
        <v>3</v>
      </c>
      <c r="R22" s="94">
        <f t="shared" si="0"/>
        <v>23.016393442622952</v>
      </c>
      <c r="S22" s="95">
        <v>100000</v>
      </c>
      <c r="T22" s="95">
        <v>95000</v>
      </c>
      <c r="U22" s="95">
        <f t="shared" si="13"/>
        <v>139957.73222195302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0" t="s">
        <v>970</v>
      </c>
      <c r="B23" s="91">
        <f t="shared" si="2"/>
        <v>90075.959789352739</v>
      </c>
      <c r="C23" s="91">
        <f t="shared" si="3"/>
        <v>90714.816281811363</v>
      </c>
      <c r="D23" s="91">
        <f t="shared" si="4"/>
        <v>91519.772397319524</v>
      </c>
      <c r="E23" s="91">
        <f t="shared" si="5"/>
        <v>92331.882447298078</v>
      </c>
      <c r="F23" s="91">
        <f t="shared" si="6"/>
        <v>93151.210110599539</v>
      </c>
      <c r="G23" s="91">
        <f t="shared" si="7"/>
        <v>93977.819633838968</v>
      </c>
      <c r="H23" s="91">
        <f t="shared" si="8"/>
        <v>94811.775836357294</v>
      </c>
      <c r="I23" s="91">
        <f t="shared" si="9"/>
        <v>95653.144115414616</v>
      </c>
      <c r="J23" s="91">
        <f t="shared" si="10"/>
        <v>96501.990451324586</v>
      </c>
      <c r="K23" s="91">
        <f t="shared" si="11"/>
        <v>97358.381412621748</v>
      </c>
      <c r="L23" s="91">
        <f t="shared" si="12"/>
        <v>92331.882447298078</v>
      </c>
      <c r="M23" s="90" t="s">
        <v>990</v>
      </c>
      <c r="N23" s="90">
        <f>671-$AD$19</f>
        <v>645</v>
      </c>
      <c r="O23" s="90">
        <v>16</v>
      </c>
      <c r="P23" s="90">
        <f t="shared" si="17"/>
        <v>0.51500000000000001</v>
      </c>
      <c r="Q23" s="90">
        <v>3</v>
      </c>
      <c r="R23" s="90">
        <f t="shared" si="0"/>
        <v>21.147540983606557</v>
      </c>
      <c r="S23" s="91">
        <v>100000</v>
      </c>
      <c r="T23" s="91">
        <v>90600</v>
      </c>
      <c r="U23" s="91">
        <f t="shared" si="13"/>
        <v>131460.55961515597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957</v>
      </c>
      <c r="AD23" t="s">
        <v>1066</v>
      </c>
      <c r="AE23" s="25"/>
      <c r="AF23" s="26"/>
    </row>
    <row r="24" spans="1:32" x14ac:dyDescent="0.25">
      <c r="A24" s="92" t="s">
        <v>971</v>
      </c>
      <c r="B24" s="93">
        <f t="shared" si="2"/>
        <v>83333.12663802637</v>
      </c>
      <c r="C24" s="93">
        <f t="shared" si="3"/>
        <v>84213.378449189462</v>
      </c>
      <c r="D24" s="93">
        <f>$S24/(1+($AC$4-$O24+$P24)/36500)^$N24</f>
        <v>85326.794027351774</v>
      </c>
      <c r="E24" s="93">
        <f t="shared" si="5"/>
        <v>86454.946029306477</v>
      </c>
      <c r="F24" s="93">
        <f t="shared" si="6"/>
        <v>87598.029702366053</v>
      </c>
      <c r="G24" s="93">
        <f t="shared" si="7"/>
        <v>88756.24288348385</v>
      </c>
      <c r="H24" s="93">
        <f t="shared" si="8"/>
        <v>89929.786033535784</v>
      </c>
      <c r="I24" s="93">
        <f t="shared" si="9"/>
        <v>91118.862272327227</v>
      </c>
      <c r="J24" s="93">
        <f t="shared" si="10"/>
        <v>92323.677413723068</v>
      </c>
      <c r="K24" s="93">
        <f t="shared" si="11"/>
        <v>93544.440001568946</v>
      </c>
      <c r="L24" s="93">
        <f t="shared" si="12"/>
        <v>86454.946029306477</v>
      </c>
      <c r="M24" s="92" t="s">
        <v>991</v>
      </c>
      <c r="N24" s="92">
        <f>985-$AD$19</f>
        <v>959</v>
      </c>
      <c r="O24" s="92">
        <v>15</v>
      </c>
      <c r="P24" s="92">
        <f>$AI$2</f>
        <v>0.54</v>
      </c>
      <c r="Q24" s="92">
        <v>6</v>
      </c>
      <c r="R24" s="92">
        <f t="shared" si="0"/>
        <v>31.442622950819672</v>
      </c>
      <c r="S24" s="93">
        <v>100000</v>
      </c>
      <c r="T24" s="93">
        <v>85800</v>
      </c>
      <c r="U24" s="93">
        <f t="shared" si="13"/>
        <v>146195.44620997706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4" t="s">
        <v>945</v>
      </c>
      <c r="B25" s="95">
        <f t="shared" si="2"/>
        <v>82075.90776135042</v>
      </c>
      <c r="C25" s="95">
        <f t="shared" si="3"/>
        <v>82379.410270893015</v>
      </c>
      <c r="D25" s="95">
        <f t="shared" si="4"/>
        <v>82760.371832792589</v>
      </c>
      <c r="E25" s="95">
        <f t="shared" si="5"/>
        <v>83143.100394060442</v>
      </c>
      <c r="F25" s="95">
        <f t="shared" si="6"/>
        <v>83527.604174871245</v>
      </c>
      <c r="G25" s="95">
        <f t="shared" si="7"/>
        <v>83913.891433735364</v>
      </c>
      <c r="H25" s="95">
        <f t="shared" si="8"/>
        <v>84301.97046771484</v>
      </c>
      <c r="I25" s="95">
        <f t="shared" si="9"/>
        <v>84691.849612570964</v>
      </c>
      <c r="J25" s="95">
        <f t="shared" si="10"/>
        <v>85083.53724296618</v>
      </c>
      <c r="K25" s="95">
        <f t="shared" si="11"/>
        <v>85477.041772650875</v>
      </c>
      <c r="L25" s="95">
        <f t="shared" si="12"/>
        <v>83143.100394060442</v>
      </c>
      <c r="M25" s="94" t="s">
        <v>992</v>
      </c>
      <c r="N25" s="94">
        <f>363-$AD$19</f>
        <v>337</v>
      </c>
      <c r="O25" s="94">
        <v>0</v>
      </c>
      <c r="P25" s="94">
        <v>0</v>
      </c>
      <c r="Q25" s="94">
        <v>0</v>
      </c>
      <c r="R25" s="94">
        <f t="shared" si="0"/>
        <v>11.049180327868852</v>
      </c>
      <c r="S25" s="95">
        <v>100000</v>
      </c>
      <c r="T25" s="95">
        <v>82800</v>
      </c>
      <c r="U25" s="95">
        <f>B25*(1+$AC$2/36500)^N25</f>
        <v>100000.00000000001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0" t="s">
        <v>980</v>
      </c>
      <c r="B26" s="91">
        <f t="shared" si="2"/>
        <v>93602.069288108862</v>
      </c>
      <c r="C26" s="91">
        <f t="shared" si="3"/>
        <v>94886.810979054091</v>
      </c>
      <c r="D26" s="91">
        <f t="shared" si="4"/>
        <v>96517.584206667714</v>
      </c>
      <c r="E26" s="91">
        <f t="shared" si="5"/>
        <v>98176.407653358299</v>
      </c>
      <c r="F26" s="91">
        <f t="shared" si="6"/>
        <v>99863.764192931209</v>
      </c>
      <c r="G26" s="91">
        <f t="shared" si="7"/>
        <v>101580.14501842142</v>
      </c>
      <c r="H26" s="91">
        <f t="shared" si="8"/>
        <v>103326.04978562161</v>
      </c>
      <c r="I26" s="91">
        <f t="shared" si="9"/>
        <v>105101.98675894817</v>
      </c>
      <c r="J26" s="91">
        <f t="shared" si="10"/>
        <v>106908.47295988323</v>
      </c>
      <c r="K26" s="91">
        <f t="shared" si="11"/>
        <v>108746.03431803778</v>
      </c>
      <c r="L26" s="91">
        <f t="shared" si="12"/>
        <v>98176.407653358299</v>
      </c>
      <c r="M26" s="90" t="s">
        <v>983</v>
      </c>
      <c r="N26" s="90">
        <f>1270-$AD$19</f>
        <v>1244</v>
      </c>
      <c r="O26" s="90">
        <v>20</v>
      </c>
      <c r="P26" s="90">
        <f>$AI$2</f>
        <v>0.54</v>
      </c>
      <c r="Q26" s="90">
        <v>6</v>
      </c>
      <c r="R26" s="90">
        <f t="shared" si="0"/>
        <v>40.786885245901637</v>
      </c>
      <c r="S26" s="91">
        <v>100000</v>
      </c>
      <c r="T26" s="91">
        <v>100000</v>
      </c>
      <c r="U26" s="91">
        <f t="shared" si="13"/>
        <v>194065.87564430304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2" t="s">
        <v>984</v>
      </c>
      <c r="B27" s="93">
        <f t="shared" si="2"/>
        <v>100076.41283032292</v>
      </c>
      <c r="C27" s="93">
        <f t="shared" si="3"/>
        <v>100436.78966946244</v>
      </c>
      <c r="D27" s="93">
        <f t="shared" si="4"/>
        <v>100889.09177757721</v>
      </c>
      <c r="E27" s="93">
        <f t="shared" si="5"/>
        <v>101343.43699882684</v>
      </c>
      <c r="F27" s="93">
        <f t="shared" si="6"/>
        <v>101799.83459042809</v>
      </c>
      <c r="G27" s="93">
        <f t="shared" si="7"/>
        <v>102258.29385165543</v>
      </c>
      <c r="H27" s="93">
        <f t="shared" si="8"/>
        <v>102718.82412406411</v>
      </c>
      <c r="I27" s="93">
        <f t="shared" si="9"/>
        <v>103181.43479165663</v>
      </c>
      <c r="J27" s="93">
        <f t="shared" si="10"/>
        <v>103646.1352810839</v>
      </c>
      <c r="K27" s="93">
        <f t="shared" si="11"/>
        <v>104112.93506184319</v>
      </c>
      <c r="L27" s="93">
        <f t="shared" si="12"/>
        <v>101343.43699882684</v>
      </c>
      <c r="M27" s="92" t="s">
        <v>985</v>
      </c>
      <c r="N27" s="92">
        <f>354-$AD$19</f>
        <v>328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10.754098360655737</v>
      </c>
      <c r="S27" s="93">
        <v>100000</v>
      </c>
      <c r="T27" s="93">
        <v>103000</v>
      </c>
      <c r="U27" s="93">
        <f t="shared" si="13"/>
        <v>121290.01778463993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4" t="s">
        <v>1010</v>
      </c>
      <c r="B28" s="95">
        <f t="shared" si="2"/>
        <v>99182.542087917245</v>
      </c>
      <c r="C28" s="95">
        <f t="shared" si="3"/>
        <v>100000</v>
      </c>
      <c r="D28" s="95">
        <f t="shared" si="4"/>
        <v>101031.31620696204</v>
      </c>
      <c r="E28" s="95">
        <f t="shared" si="5"/>
        <v>102073.28289207247</v>
      </c>
      <c r="F28" s="95">
        <f t="shared" si="6"/>
        <v>103126.01019178034</v>
      </c>
      <c r="G28" s="95">
        <f t="shared" si="7"/>
        <v>104189.60938294475</v>
      </c>
      <c r="H28" s="95">
        <f t="shared" si="8"/>
        <v>105264.19289476273</v>
      </c>
      <c r="I28" s="95">
        <f t="shared" si="9"/>
        <v>106349.87432060597</v>
      </c>
      <c r="J28" s="95">
        <f t="shared" si="10"/>
        <v>107446.7684301658</v>
      </c>
      <c r="K28" s="95">
        <f t="shared" si="11"/>
        <v>108554.99118160956</v>
      </c>
      <c r="L28" s="95">
        <f t="shared" si="12"/>
        <v>102073.28289207247</v>
      </c>
      <c r="M28" s="94" t="s">
        <v>1011</v>
      </c>
      <c r="N28" s="94">
        <f>775-$AD$19</f>
        <v>749</v>
      </c>
      <c r="O28" s="94">
        <v>21</v>
      </c>
      <c r="P28" s="94">
        <v>0</v>
      </c>
      <c r="Q28" s="94">
        <v>1</v>
      </c>
      <c r="R28" s="94">
        <f t="shared" si="0"/>
        <v>24.557377049180328</v>
      </c>
      <c r="S28" s="95">
        <v>100000</v>
      </c>
      <c r="T28" s="95">
        <v>104000</v>
      </c>
      <c r="U28" s="95">
        <f t="shared" si="13"/>
        <v>153849.22340256517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0" t="s">
        <v>1060</v>
      </c>
      <c r="B29" s="91">
        <f t="shared" si="2"/>
        <v>83810.661029977724</v>
      </c>
      <c r="C29" s="91">
        <f t="shared" si="3"/>
        <v>85017.722283427269</v>
      </c>
      <c r="D29" s="91">
        <f t="shared" si="4"/>
        <v>86551.043975647699</v>
      </c>
      <c r="E29" s="91">
        <f t="shared" si="5"/>
        <v>88112.041185513168</v>
      </c>
      <c r="F29" s="91">
        <f t="shared" si="6"/>
        <v>89701.213828497508</v>
      </c>
      <c r="G29" s="91">
        <f t="shared" si="7"/>
        <v>91319.070857396204</v>
      </c>
      <c r="H29" s="91">
        <f t="shared" si="8"/>
        <v>92966.130425753698</v>
      </c>
      <c r="I29" s="91">
        <f t="shared" si="9"/>
        <v>94642.920054171656</v>
      </c>
      <c r="J29" s="91">
        <f t="shared" si="10"/>
        <v>96349.976800102522</v>
      </c>
      <c r="K29" s="91">
        <f t="shared" si="11"/>
        <v>98087.847430053196</v>
      </c>
      <c r="L29" s="91">
        <f t="shared" si="12"/>
        <v>88112.041185513168</v>
      </c>
      <c r="M29" s="90" t="s">
        <v>1061</v>
      </c>
      <c r="N29" s="90">
        <f>1331-$AD$19</f>
        <v>1305</v>
      </c>
      <c r="O29" s="90">
        <v>17</v>
      </c>
      <c r="P29" s="90">
        <f>AI2</f>
        <v>0.54</v>
      </c>
      <c r="Q29" s="90">
        <v>6</v>
      </c>
      <c r="R29" s="90">
        <f t="shared" si="0"/>
        <v>42.786885245901637</v>
      </c>
      <c r="S29" s="91">
        <v>100000</v>
      </c>
      <c r="T29" s="91"/>
      <c r="U29" s="91">
        <f t="shared" si="13"/>
        <v>180090.46324244203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D41" t="s">
        <v>1140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D42" t="s">
        <v>1141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D43" t="s">
        <v>1142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1073</v>
      </c>
    </row>
    <row r="2" spans="1:1" x14ac:dyDescent="0.25">
      <c r="A2" t="s">
        <v>1074</v>
      </c>
    </row>
    <row r="3" spans="1:1" x14ac:dyDescent="0.25">
      <c r="A3" t="s">
        <v>1075</v>
      </c>
    </row>
    <row r="4" spans="1:1" x14ac:dyDescent="0.25">
      <c r="A4" t="s">
        <v>1076</v>
      </c>
    </row>
    <row r="5" spans="1:1" x14ac:dyDescent="0.25">
      <c r="A5" t="s">
        <v>1077</v>
      </c>
    </row>
    <row r="6" spans="1:1" x14ac:dyDescent="0.25">
      <c r="A6" t="s">
        <v>1120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"/>
  <sheetViews>
    <sheetView workbookViewId="0">
      <selection activeCell="G41" sqref="G41"/>
    </sheetView>
  </sheetViews>
  <sheetFormatPr defaultRowHeight="15" x14ac:dyDescent="0.25"/>
  <cols>
    <col min="6" max="6" width="13.7109375" bestFit="1" customWidth="1"/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5" width="17.85546875" bestFit="1" customWidth="1"/>
    <col min="26" max="26" width="16.140625" bestFit="1" customWidth="1"/>
    <col min="28" max="29" width="14.140625" bestFit="1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1093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1109</v>
      </c>
      <c r="X1" s="11" t="s">
        <v>35</v>
      </c>
      <c r="Y1" s="11" t="s">
        <v>37</v>
      </c>
      <c r="Z1" s="11" t="s">
        <v>484</v>
      </c>
      <c r="AH1" s="130" t="s">
        <v>1121</v>
      </c>
      <c r="AI1" s="130"/>
      <c r="AJ1" s="130"/>
      <c r="AK1" s="130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1093</v>
      </c>
      <c r="R2" s="11" t="s">
        <v>1108</v>
      </c>
      <c r="S2" s="84">
        <v>168000000</v>
      </c>
      <c r="T2" s="84">
        <v>91000000</v>
      </c>
      <c r="U2" s="84">
        <v>77000000</v>
      </c>
      <c r="V2" s="11">
        <v>11</v>
      </c>
      <c r="W2" s="11">
        <f>W3+V2</f>
        <v>11</v>
      </c>
      <c r="X2" s="84">
        <f>S2*W2</f>
        <v>1848000000</v>
      </c>
      <c r="Y2" s="84">
        <f>T2*W2</f>
        <v>1001000000</v>
      </c>
      <c r="Z2" s="84">
        <f>U2*W2</f>
        <v>847000000</v>
      </c>
      <c r="AH2" s="130"/>
      <c r="AI2" s="130"/>
      <c r="AJ2" s="130"/>
      <c r="AK2" s="130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1094</v>
      </c>
      <c r="R3" s="11" t="s">
        <v>1110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31" t="s">
        <v>1122</v>
      </c>
      <c r="AI3" s="132" t="s">
        <v>1123</v>
      </c>
      <c r="AJ3" s="131" t="s">
        <v>1124</v>
      </c>
      <c r="AK3" s="133" t="s">
        <v>1125</v>
      </c>
    </row>
    <row r="4" spans="1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31"/>
      <c r="AI4" s="132"/>
      <c r="AJ4" s="131"/>
      <c r="AK4" s="133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1095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1126</v>
      </c>
      <c r="AI5" s="96" t="s">
        <v>1127</v>
      </c>
      <c r="AJ5" s="96" t="s">
        <v>1128</v>
      </c>
      <c r="AK5" s="96" t="s">
        <v>1129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1096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1130</v>
      </c>
      <c r="AI6" s="97" t="s">
        <v>1131</v>
      </c>
      <c r="AJ6" s="97" t="s">
        <v>1132</v>
      </c>
      <c r="AK6" s="97" t="s">
        <v>1133</v>
      </c>
    </row>
    <row r="7" spans="1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1097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1098</v>
      </c>
      <c r="J9">
        <v>232</v>
      </c>
      <c r="K9">
        <v>2.12</v>
      </c>
      <c r="L9">
        <f>$J$9/K9</f>
        <v>109.43396226415094</v>
      </c>
      <c r="O9" t="s">
        <v>1105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 x14ac:dyDescent="0.25">
      <c r="K10">
        <v>2.02</v>
      </c>
      <c r="L10">
        <f t="shared" ref="L10:L13" si="5">$J$9/K10</f>
        <v>114.85148514851485</v>
      </c>
      <c r="O10" t="s">
        <v>1106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1179</v>
      </c>
      <c r="AE10" s="105">
        <v>33</v>
      </c>
      <c r="AF10" s="105"/>
      <c r="AG10" s="105"/>
      <c r="AH10" s="105"/>
      <c r="AI10" s="105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1099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1100</v>
      </c>
      <c r="K12">
        <v>1.82</v>
      </c>
      <c r="L12">
        <f t="shared" si="5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 x14ac:dyDescent="0.25">
      <c r="K13">
        <v>1.72</v>
      </c>
      <c r="L13">
        <f t="shared" si="5"/>
        <v>134.88372093023256</v>
      </c>
      <c r="O13" t="s">
        <v>1118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1101</v>
      </c>
      <c r="K14">
        <v>1.62</v>
      </c>
      <c r="L14">
        <f>$J$9/K14</f>
        <v>143.20987654320987</v>
      </c>
      <c r="O14" t="s">
        <v>1119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1175</v>
      </c>
      <c r="AC14" s="105" t="s">
        <v>1176</v>
      </c>
      <c r="AD14" s="105" t="s">
        <v>1177</v>
      </c>
      <c r="AE14" s="105" t="s">
        <v>183</v>
      </c>
      <c r="AF14" s="105" t="s">
        <v>960</v>
      </c>
      <c r="AG14" s="105" t="s">
        <v>1178</v>
      </c>
      <c r="AH14" s="105" t="s">
        <v>1187</v>
      </c>
      <c r="AI14" s="105" t="s">
        <v>1180</v>
      </c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1102</v>
      </c>
      <c r="O15" t="s">
        <v>1107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33</v>
      </c>
      <c r="AF15" s="101">
        <f>AB15-AC15</f>
        <v>240000</v>
      </c>
      <c r="AG15" s="105">
        <f>(AB15-AC15)/(AC15+AD15)*365/AE15*100</f>
        <v>115.91901548233426</v>
      </c>
      <c r="AH15" s="105">
        <f>AG15/12</f>
        <v>9.6599179568611877</v>
      </c>
      <c r="AI15" s="105" t="s">
        <v>1181</v>
      </c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97</v>
      </c>
      <c r="AF16" s="101">
        <f t="shared" ref="AF16:AF19" si="10">AB16-AC16</f>
        <v>318000</v>
      </c>
      <c r="AG16" s="105">
        <f t="shared" ref="AG16:AG19" si="11">(AB16-AC16)/(AC16+AD16)*365/AE16*100</f>
        <v>52.253185071804801</v>
      </c>
      <c r="AH16" s="105">
        <f t="shared" ref="AH16:AH19" si="12">AG16/12</f>
        <v>4.3544320893170667</v>
      </c>
      <c r="AI16" s="105" t="s">
        <v>1182</v>
      </c>
    </row>
    <row r="17" spans="1:35" x14ac:dyDescent="0.25">
      <c r="A17">
        <f>A14/A8</f>
        <v>0.37037037037037035</v>
      </c>
      <c r="B17">
        <f t="shared" ref="B17:F17" si="13">B14/B8</f>
        <v>0.34883720930232559</v>
      </c>
      <c r="C17">
        <f t="shared" si="13"/>
        <v>0.32967032967032966</v>
      </c>
      <c r="D17">
        <f t="shared" si="13"/>
        <v>0.3125</v>
      </c>
      <c r="E17">
        <f t="shared" si="13"/>
        <v>0.29702970297029702</v>
      </c>
      <c r="F17">
        <f t="shared" si="13"/>
        <v>0.28301886792452829</v>
      </c>
      <c r="G17" t="s">
        <v>1138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 t="shared" ref="AC17:AD17" si="14">AC16</f>
        <v>1590000</v>
      </c>
      <c r="AD17" s="116">
        <f t="shared" si="14"/>
        <v>700000</v>
      </c>
      <c r="AE17" s="105">
        <f>AE16+61</f>
        <v>158</v>
      </c>
      <c r="AF17" s="101">
        <f t="shared" si="10"/>
        <v>349000</v>
      </c>
      <c r="AG17" s="105">
        <f t="shared" si="11"/>
        <v>35.206732629484272</v>
      </c>
      <c r="AH17" s="105">
        <f t="shared" si="12"/>
        <v>2.9338943857903561</v>
      </c>
      <c r="AI17" s="105" t="s">
        <v>1183</v>
      </c>
    </row>
    <row r="18" spans="1:35" x14ac:dyDescent="0.25">
      <c r="A18">
        <f>A14/A8*12/8</f>
        <v>0.55555555555555558</v>
      </c>
      <c r="B18">
        <f t="shared" ref="B18:F18" si="15">B14/B8*12/8</f>
        <v>0.52325581395348841</v>
      </c>
      <c r="C18">
        <f t="shared" si="15"/>
        <v>0.49450549450549453</v>
      </c>
      <c r="D18">
        <f t="shared" si="15"/>
        <v>0.46875</v>
      </c>
      <c r="E18">
        <f t="shared" si="15"/>
        <v>0.4455445544554455</v>
      </c>
      <c r="F18">
        <f t="shared" si="15"/>
        <v>0.42452830188679247</v>
      </c>
      <c r="G18" t="s">
        <v>1103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1960000</v>
      </c>
      <c r="AC18" s="116">
        <v>1400000</v>
      </c>
      <c r="AD18" s="116">
        <v>700000</v>
      </c>
      <c r="AE18" s="105">
        <f>AE17+62</f>
        <v>220</v>
      </c>
      <c r="AF18" s="101">
        <f t="shared" si="10"/>
        <v>560000</v>
      </c>
      <c r="AG18" s="105">
        <f t="shared" si="11"/>
        <v>44.242424242424235</v>
      </c>
      <c r="AH18" s="105">
        <f t="shared" si="12"/>
        <v>3.6868686868686864</v>
      </c>
      <c r="AI18" s="105" t="s">
        <v>1184</v>
      </c>
    </row>
    <row r="19" spans="1:35" x14ac:dyDescent="0.25">
      <c r="A19">
        <f>A15/A9*12/14</f>
        <v>0.41616541353383457</v>
      </c>
      <c r="B19">
        <f t="shared" ref="B19:F19" si="16">B15/B9*12/14</f>
        <v>0.39047619047619048</v>
      </c>
      <c r="C19">
        <f t="shared" si="16"/>
        <v>0.3677740863787376</v>
      </c>
      <c r="D19">
        <f t="shared" si="16"/>
        <v>0.34756671899529046</v>
      </c>
      <c r="E19">
        <f t="shared" si="16"/>
        <v>0.32946428571428577</v>
      </c>
      <c r="F19">
        <f t="shared" si="16"/>
        <v>0.31315417256011319</v>
      </c>
      <c r="G19" t="s">
        <v>1104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2270000</v>
      </c>
      <c r="AC19" s="116">
        <v>1400000</v>
      </c>
      <c r="AD19" s="116">
        <v>800000</v>
      </c>
      <c r="AE19" s="105">
        <f>AE18+57</f>
        <v>277</v>
      </c>
      <c r="AF19" s="101">
        <f t="shared" si="10"/>
        <v>870000</v>
      </c>
      <c r="AG19" s="105">
        <f t="shared" si="11"/>
        <v>52.108631440761414</v>
      </c>
      <c r="AH19" s="105">
        <f t="shared" si="12"/>
        <v>4.3423859533967848</v>
      </c>
      <c r="AI19" s="105" t="s">
        <v>1185</v>
      </c>
    </row>
    <row r="20" spans="1:35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1186</v>
      </c>
    </row>
    <row r="21" spans="1:35" x14ac:dyDescent="0.25">
      <c r="A21">
        <f>A11*0.09</f>
        <v>199.79999999999998</v>
      </c>
      <c r="B21">
        <f t="shared" ref="B21:F21" si="17">B11*0.09</f>
        <v>208.79999999999998</v>
      </c>
      <c r="C21">
        <f t="shared" si="17"/>
        <v>217.79999999999998</v>
      </c>
      <c r="D21">
        <f t="shared" si="17"/>
        <v>226.79999999999998</v>
      </c>
      <c r="E21">
        <f t="shared" si="17"/>
        <v>235.79999999999998</v>
      </c>
      <c r="F21">
        <f t="shared" si="17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5" x14ac:dyDescent="0.25">
      <c r="A22">
        <f>(A11+A21)*A9/A8</f>
        <v>2270.4296296296297</v>
      </c>
      <c r="B22">
        <f t="shared" ref="B22:F22" si="18">(B11+B21)*B9/B8</f>
        <v>2381.7767441860469</v>
      </c>
      <c r="C22">
        <f t="shared" si="18"/>
        <v>2492.8659340659342</v>
      </c>
      <c r="D22">
        <f t="shared" si="18"/>
        <v>2603.7375000000002</v>
      </c>
      <c r="E22">
        <f t="shared" si="18"/>
        <v>2714.4237623762378</v>
      </c>
      <c r="F22">
        <f t="shared" si="18"/>
        <v>2824.9509433962262</v>
      </c>
      <c r="R22" s="11" t="s">
        <v>6</v>
      </c>
      <c r="S22" s="29">
        <f>SUM(S2:S19)</f>
        <v>168000000</v>
      </c>
      <c r="T22" s="29">
        <f t="shared" ref="T22:Z22" si="19">SUM(T2:T19)</f>
        <v>91000000</v>
      </c>
      <c r="U22" s="29">
        <f t="shared" si="19"/>
        <v>77000000</v>
      </c>
      <c r="V22" s="29"/>
      <c r="W22" s="29"/>
      <c r="X22" s="29">
        <f t="shared" si="19"/>
        <v>1848000000</v>
      </c>
      <c r="Y22" s="29">
        <f t="shared" si="19"/>
        <v>1001000000</v>
      </c>
      <c r="Z22" s="29">
        <f t="shared" si="19"/>
        <v>847000000</v>
      </c>
    </row>
    <row r="23" spans="1:35" x14ac:dyDescent="0.25">
      <c r="AD23" t="s">
        <v>25</v>
      </c>
    </row>
    <row r="28" spans="1:35" x14ac:dyDescent="0.25">
      <c r="E28" t="s">
        <v>25</v>
      </c>
    </row>
    <row r="35" spans="6:7" x14ac:dyDescent="0.25">
      <c r="F35" s="98" t="s">
        <v>1150</v>
      </c>
      <c r="G35" s="98">
        <v>24</v>
      </c>
    </row>
    <row r="36" spans="6:7" x14ac:dyDescent="0.25">
      <c r="F36" s="98" t="s">
        <v>1149</v>
      </c>
      <c r="G36" s="98">
        <v>21.6</v>
      </c>
    </row>
    <row r="37" spans="6:7" x14ac:dyDescent="0.25">
      <c r="F37" s="98" t="s">
        <v>1151</v>
      </c>
      <c r="G37" s="98">
        <v>31.1</v>
      </c>
    </row>
    <row r="38" spans="6:7" x14ac:dyDescent="0.25">
      <c r="F38" s="98" t="s">
        <v>1152</v>
      </c>
      <c r="G38" s="98">
        <v>8.1329999999999991</v>
      </c>
    </row>
    <row r="39" spans="6:7" x14ac:dyDescent="0.25">
      <c r="F39" s="98" t="s">
        <v>1153</v>
      </c>
      <c r="G39" s="98">
        <v>1344</v>
      </c>
    </row>
    <row r="40" spans="6:7" x14ac:dyDescent="0.25">
      <c r="F40" s="98" t="s">
        <v>1154</v>
      </c>
      <c r="G40" s="98">
        <v>5700</v>
      </c>
    </row>
    <row r="41" spans="6:7" x14ac:dyDescent="0.25">
      <c r="F41" s="98" t="s">
        <v>1156</v>
      </c>
      <c r="G41" s="98">
        <v>5000</v>
      </c>
    </row>
    <row r="42" spans="6:7" x14ac:dyDescent="0.25">
      <c r="F42" s="98" t="s">
        <v>1155</v>
      </c>
      <c r="G42" s="101">
        <f>G36*G38*G39*G40/(G35*G37)+G41</f>
        <v>1808046.8733118968</v>
      </c>
    </row>
    <row r="43" spans="6:7" x14ac:dyDescent="0.25">
      <c r="F43" s="99"/>
      <c r="G43" s="100"/>
    </row>
    <row r="44" spans="6:7" x14ac:dyDescent="0.25">
      <c r="F44" s="99"/>
      <c r="G44" s="99"/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C19" workbookViewId="0">
      <selection activeCell="L26" sqref="L26"/>
    </sheetView>
  </sheetViews>
  <sheetFormatPr defaultRowHeight="15" x14ac:dyDescent="0.25"/>
  <cols>
    <col min="2" max="2" width="46" customWidth="1"/>
    <col min="7" max="7" width="30.85546875" customWidth="1"/>
    <col min="8" max="8" width="86.42578125" bestFit="1" customWidth="1"/>
    <col min="9" max="9" width="17.5703125" bestFit="1" customWidth="1"/>
    <col min="12" max="12" width="24.85546875" bestFit="1" customWidth="1"/>
  </cols>
  <sheetData>
    <row r="1" spans="1:12" x14ac:dyDescent="0.25">
      <c r="A1" t="s">
        <v>1210</v>
      </c>
    </row>
    <row r="2" spans="1:12" x14ac:dyDescent="0.25">
      <c r="A2">
        <v>1</v>
      </c>
      <c r="B2" t="s">
        <v>1211</v>
      </c>
      <c r="G2" t="s">
        <v>1212</v>
      </c>
    </row>
    <row r="3" spans="1:12" x14ac:dyDescent="0.25">
      <c r="G3" s="129" t="s">
        <v>1213</v>
      </c>
    </row>
    <row r="4" spans="1:12" x14ac:dyDescent="0.25">
      <c r="G4" t="s">
        <v>1214</v>
      </c>
      <c r="H4" t="s">
        <v>1215</v>
      </c>
      <c r="K4" t="s">
        <v>1226</v>
      </c>
      <c r="L4" s="129" t="s">
        <v>1227</v>
      </c>
    </row>
    <row r="5" spans="1:12" x14ac:dyDescent="0.25">
      <c r="G5" t="s">
        <v>1216</v>
      </c>
      <c r="H5" t="s">
        <v>1217</v>
      </c>
    </row>
    <row r="6" spans="1:12" x14ac:dyDescent="0.25">
      <c r="H6" t="s">
        <v>1218</v>
      </c>
    </row>
    <row r="7" spans="1:12" x14ac:dyDescent="0.25">
      <c r="H7" t="s">
        <v>1219</v>
      </c>
    </row>
    <row r="9" spans="1:12" x14ac:dyDescent="0.25">
      <c r="H9" t="s">
        <v>1225</v>
      </c>
    </row>
    <row r="19" spans="1:12" x14ac:dyDescent="0.25">
      <c r="L19" t="s">
        <v>1232</v>
      </c>
    </row>
    <row r="20" spans="1:12" x14ac:dyDescent="0.25">
      <c r="A20">
        <v>2</v>
      </c>
      <c r="B20" t="s">
        <v>1220</v>
      </c>
      <c r="G20" t="s">
        <v>1221</v>
      </c>
      <c r="H20" t="s">
        <v>1222</v>
      </c>
      <c r="L20" t="s">
        <v>1233</v>
      </c>
    </row>
    <row r="21" spans="1:12" x14ac:dyDescent="0.25">
      <c r="G21" s="129" t="s">
        <v>1223</v>
      </c>
      <c r="H21" t="s">
        <v>1224</v>
      </c>
      <c r="L21" t="s">
        <v>1234</v>
      </c>
    </row>
    <row r="22" spans="1:12" x14ac:dyDescent="0.25">
      <c r="L22" t="s">
        <v>1235</v>
      </c>
    </row>
    <row r="23" spans="1:12" x14ac:dyDescent="0.25">
      <c r="L23" t="s">
        <v>1236</v>
      </c>
    </row>
    <row r="24" spans="1:12" x14ac:dyDescent="0.25">
      <c r="L24" t="s">
        <v>1237</v>
      </c>
    </row>
    <row r="25" spans="1:12" x14ac:dyDescent="0.25">
      <c r="L25" t="s">
        <v>1238</v>
      </c>
    </row>
    <row r="30" spans="1:12" x14ac:dyDescent="0.25">
      <c r="A30">
        <v>3</v>
      </c>
      <c r="B30" t="s">
        <v>1228</v>
      </c>
      <c r="G30" t="s">
        <v>1229</v>
      </c>
      <c r="H30" s="129" t="s">
        <v>1230</v>
      </c>
      <c r="I30" t="s">
        <v>1231</v>
      </c>
    </row>
  </sheetData>
  <hyperlinks>
    <hyperlink ref="G3" r:id="rId1"/>
    <hyperlink ref="G21" r:id="rId2"/>
    <hyperlink ref="L4" r:id="rId3"/>
    <hyperlink ref="H30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921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921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921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921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921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921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921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921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921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905</v>
      </c>
      <c r="B13" s="3">
        <v>436</v>
      </c>
      <c r="C13" s="11" t="s">
        <v>817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906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907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908</v>
      </c>
      <c r="B40" s="3">
        <v>-30000</v>
      </c>
      <c r="C40" s="11" t="s">
        <v>909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891</v>
      </c>
      <c r="B41" s="3">
        <v>7481</v>
      </c>
      <c r="C41" s="11" t="s">
        <v>910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894</v>
      </c>
      <c r="B42" s="3">
        <v>1000000</v>
      </c>
      <c r="C42" s="11" t="s">
        <v>895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911</v>
      </c>
      <c r="B43" s="3">
        <v>-39330</v>
      </c>
      <c r="C43" s="11" t="s">
        <v>897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912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896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898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913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914</v>
      </c>
      <c r="B48" s="3">
        <v>-83000</v>
      </c>
      <c r="C48" s="11" t="s">
        <v>915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916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917</v>
      </c>
      <c r="B50" s="3">
        <v>-180000</v>
      </c>
      <c r="C50" s="11" t="s">
        <v>918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919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920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930</v>
      </c>
      <c r="B53" s="3">
        <v>-22000</v>
      </c>
      <c r="C53" s="11" t="s">
        <v>931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924</v>
      </c>
      <c r="B54" s="3">
        <v>999000</v>
      </c>
      <c r="C54" s="11" t="s">
        <v>928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924</v>
      </c>
      <c r="B55" s="3">
        <v>106900</v>
      </c>
      <c r="C55" s="11" t="s">
        <v>929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924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933</v>
      </c>
      <c r="B57" s="3">
        <v>-18400</v>
      </c>
      <c r="C57" s="11" t="s">
        <v>875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942</v>
      </c>
      <c r="B58" s="3">
        <v>-457777</v>
      </c>
      <c r="C58" s="11" t="s">
        <v>935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1054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1033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1050</v>
      </c>
      <c r="B61" s="3">
        <v>4172</v>
      </c>
      <c r="C61" s="11" t="s">
        <v>1052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1056</v>
      </c>
      <c r="B62" s="3">
        <v>-161000</v>
      </c>
      <c r="C62" s="11" t="s">
        <v>1064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1069</v>
      </c>
      <c r="B63" s="3">
        <v>-149505</v>
      </c>
      <c r="C63" s="11" t="s">
        <v>1070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1082</v>
      </c>
      <c r="B64" s="3">
        <v>-4940</v>
      </c>
      <c r="C64" s="11" t="s">
        <v>1086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4" activePane="bottomLeft" state="frozen"/>
      <selection pane="bottomLeft" activeCell="G198" sqref="G19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680</v>
      </c>
      <c r="E2" s="11">
        <f>IF(B2&gt;0,1,0)</f>
        <v>1</v>
      </c>
      <c r="F2" s="11">
        <f>B2*(D2-E2)</f>
        <v>65659300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678</v>
      </c>
      <c r="E3" s="11">
        <f t="shared" ref="E3:E66" si="1">IF(B3&gt;0,1,0)</f>
        <v>1</v>
      </c>
      <c r="F3" s="11">
        <f t="shared" ref="F3:F66" si="2">B3*(D3-E3)</f>
        <v>2031000000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675</v>
      </c>
      <c r="E4" s="11">
        <f t="shared" si="1"/>
        <v>0</v>
      </c>
      <c r="F4" s="11">
        <f t="shared" si="2"/>
        <v>-135000000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673</v>
      </c>
      <c r="E5" s="11">
        <f t="shared" si="1"/>
        <v>0</v>
      </c>
      <c r="F5" s="11">
        <f t="shared" si="2"/>
        <v>-67300000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672</v>
      </c>
      <c r="E6" s="11">
        <f t="shared" si="1"/>
        <v>0</v>
      </c>
      <c r="F6" s="11">
        <f t="shared" si="2"/>
        <v>-36960000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671</v>
      </c>
      <c r="E7" s="11">
        <f t="shared" si="1"/>
        <v>0</v>
      </c>
      <c r="F7" s="11">
        <f t="shared" si="2"/>
        <v>-134200000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667</v>
      </c>
      <c r="E8" s="11">
        <f t="shared" si="1"/>
        <v>0</v>
      </c>
      <c r="F8" s="11">
        <f t="shared" si="2"/>
        <v>-133400000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657</v>
      </c>
      <c r="E9" s="11">
        <f t="shared" si="1"/>
        <v>0</v>
      </c>
      <c r="F9" s="11">
        <f t="shared" si="2"/>
        <v>-624478500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656</v>
      </c>
      <c r="E10" s="11">
        <f t="shared" si="1"/>
        <v>1</v>
      </c>
      <c r="F10" s="11">
        <f t="shared" si="2"/>
        <v>1310000000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654</v>
      </c>
      <c r="E11" s="11">
        <f t="shared" si="1"/>
        <v>0</v>
      </c>
      <c r="F11" s="11">
        <f t="shared" si="2"/>
        <v>-696510000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651</v>
      </c>
      <c r="E12" s="11">
        <f t="shared" si="1"/>
        <v>0</v>
      </c>
      <c r="F12" s="11">
        <f t="shared" si="2"/>
        <v>-29295000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650</v>
      </c>
      <c r="E13" s="11">
        <f t="shared" si="1"/>
        <v>0</v>
      </c>
      <c r="F13" s="11">
        <f t="shared" si="2"/>
        <v>-1300455000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646</v>
      </c>
      <c r="E14" s="11">
        <f t="shared" si="1"/>
        <v>0</v>
      </c>
      <c r="F14" s="11">
        <f t="shared" si="2"/>
        <v>-129200000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644</v>
      </c>
      <c r="E15" s="11">
        <f t="shared" si="1"/>
        <v>1</v>
      </c>
      <c r="F15" s="11">
        <f t="shared" si="2"/>
        <v>1286000000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644</v>
      </c>
      <c r="E16" s="11">
        <f t="shared" si="1"/>
        <v>1</v>
      </c>
      <c r="F16" s="11">
        <f t="shared" si="2"/>
        <v>1286000000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644</v>
      </c>
      <c r="E17" s="11">
        <f t="shared" si="1"/>
        <v>1</v>
      </c>
      <c r="F17" s="11">
        <f t="shared" si="2"/>
        <v>771600000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644</v>
      </c>
      <c r="E18" s="11">
        <f t="shared" si="1"/>
        <v>1</v>
      </c>
      <c r="F18" s="11">
        <f t="shared" si="2"/>
        <v>643000000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643</v>
      </c>
      <c r="E19" s="11">
        <f t="shared" si="1"/>
        <v>1</v>
      </c>
      <c r="F19" s="11">
        <f t="shared" si="2"/>
        <v>1926000000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643</v>
      </c>
      <c r="E20" s="11">
        <f t="shared" si="1"/>
        <v>0</v>
      </c>
      <c r="F20" s="11">
        <f t="shared" si="2"/>
        <v>-278226100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643</v>
      </c>
      <c r="E21" s="11">
        <f t="shared" si="1"/>
        <v>0</v>
      </c>
      <c r="F21" s="11">
        <f t="shared" si="2"/>
        <v>-278226100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643</v>
      </c>
      <c r="E22" s="11">
        <f t="shared" si="1"/>
        <v>0</v>
      </c>
      <c r="F22" s="11">
        <f t="shared" si="2"/>
        <v>-278226100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643</v>
      </c>
      <c r="E23" s="11">
        <f t="shared" si="1"/>
        <v>0</v>
      </c>
      <c r="F23" s="11">
        <f t="shared" si="2"/>
        <v>-278226100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643</v>
      </c>
      <c r="E24" s="11">
        <f t="shared" si="1"/>
        <v>0</v>
      </c>
      <c r="F24" s="11">
        <f t="shared" si="2"/>
        <v>-278226100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643</v>
      </c>
      <c r="E25" s="11">
        <f t="shared" si="1"/>
        <v>0</v>
      </c>
      <c r="F25" s="11">
        <f t="shared" si="2"/>
        <v>-128600000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642</v>
      </c>
      <c r="E26" s="11">
        <f t="shared" si="1"/>
        <v>1</v>
      </c>
      <c r="F26" s="11">
        <f t="shared" si="2"/>
        <v>1923000000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640</v>
      </c>
      <c r="E27" s="11">
        <f t="shared" si="1"/>
        <v>0</v>
      </c>
      <c r="F27" s="11">
        <f t="shared" si="2"/>
        <v>-128000000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639</v>
      </c>
      <c r="E28" s="11">
        <f t="shared" si="1"/>
        <v>1</v>
      </c>
      <c r="F28" s="11">
        <f t="shared" si="2"/>
        <v>1276000000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638</v>
      </c>
      <c r="E29" s="11">
        <f t="shared" si="1"/>
        <v>0</v>
      </c>
      <c r="F29" s="11">
        <f t="shared" si="2"/>
        <v>-4466510400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637</v>
      </c>
      <c r="E30" s="11">
        <f t="shared" si="1"/>
        <v>0</v>
      </c>
      <c r="F30" s="11">
        <f t="shared" si="2"/>
        <v>-1911573300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636</v>
      </c>
      <c r="E31" s="11">
        <f t="shared" si="1"/>
        <v>0</v>
      </c>
      <c r="F31" s="11">
        <f t="shared" si="2"/>
        <v>-1078592400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633</v>
      </c>
      <c r="E32" s="11">
        <f t="shared" si="1"/>
        <v>1</v>
      </c>
      <c r="F32" s="11">
        <f t="shared" si="2"/>
        <v>628397600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627</v>
      </c>
      <c r="E33" s="11">
        <f t="shared" si="1"/>
        <v>1</v>
      </c>
      <c r="F33" s="11">
        <f t="shared" si="2"/>
        <v>21966966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626</v>
      </c>
      <c r="E34" s="11">
        <f t="shared" si="1"/>
        <v>0</v>
      </c>
      <c r="F34" s="11">
        <f t="shared" si="2"/>
        <v>-532100000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618</v>
      </c>
      <c r="E35" s="11">
        <f t="shared" si="1"/>
        <v>0</v>
      </c>
      <c r="F35" s="11">
        <f t="shared" si="2"/>
        <v>-117729000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617</v>
      </c>
      <c r="E36" s="11">
        <f t="shared" si="1"/>
        <v>1</v>
      </c>
      <c r="F36" s="11">
        <f t="shared" si="2"/>
        <v>123200000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617</v>
      </c>
      <c r="E37" s="11">
        <f t="shared" si="1"/>
        <v>0</v>
      </c>
      <c r="F37" s="11">
        <f t="shared" si="2"/>
        <v>-123400000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595</v>
      </c>
      <c r="E38" s="11">
        <f t="shared" si="1"/>
        <v>1</v>
      </c>
      <c r="F38" s="11">
        <f t="shared" si="2"/>
        <v>178678764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594</v>
      </c>
      <c r="E39" s="11">
        <f t="shared" si="1"/>
        <v>0</v>
      </c>
      <c r="F39" s="11">
        <f t="shared" si="2"/>
        <v>-56430000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594</v>
      </c>
      <c r="E40" s="11">
        <f t="shared" si="1"/>
        <v>0</v>
      </c>
      <c r="F40" s="11">
        <f t="shared" si="2"/>
        <v>-52333182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589</v>
      </c>
      <c r="E41" s="11">
        <f t="shared" si="1"/>
        <v>0</v>
      </c>
      <c r="F41" s="11">
        <f t="shared" si="2"/>
        <v>-70680000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567</v>
      </c>
      <c r="E42" s="11">
        <f t="shared" si="1"/>
        <v>1</v>
      </c>
      <c r="F42" s="11">
        <f t="shared" si="2"/>
        <v>566115464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563</v>
      </c>
      <c r="E43" s="11">
        <f t="shared" si="1"/>
        <v>0</v>
      </c>
      <c r="F43" s="11">
        <f t="shared" si="2"/>
        <v>-45040000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559</v>
      </c>
      <c r="E44" s="11">
        <f t="shared" si="1"/>
        <v>0</v>
      </c>
      <c r="F44" s="11">
        <f t="shared" si="2"/>
        <v>-117965211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558</v>
      </c>
      <c r="E45" s="11">
        <f t="shared" si="1"/>
        <v>0</v>
      </c>
      <c r="F45" s="11">
        <f t="shared" si="2"/>
        <v>-111600000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557</v>
      </c>
      <c r="E46" s="11">
        <f t="shared" si="1"/>
        <v>0</v>
      </c>
      <c r="F46" s="11">
        <f t="shared" si="2"/>
        <v>-52915000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555</v>
      </c>
      <c r="E47" s="11">
        <f t="shared" si="1"/>
        <v>0</v>
      </c>
      <c r="F47" s="11">
        <f t="shared" si="2"/>
        <v>-24975000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555</v>
      </c>
      <c r="E48" s="11">
        <f t="shared" si="1"/>
        <v>0</v>
      </c>
      <c r="F48" s="11">
        <f t="shared" si="2"/>
        <v>-35619900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552</v>
      </c>
      <c r="E49" s="11">
        <f t="shared" si="1"/>
        <v>0</v>
      </c>
      <c r="F49" s="11">
        <f t="shared" si="2"/>
        <v>-15171168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551</v>
      </c>
      <c r="E50" s="11">
        <f t="shared" si="1"/>
        <v>0</v>
      </c>
      <c r="F50" s="11">
        <f t="shared" si="2"/>
        <v>-77691000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551</v>
      </c>
      <c r="E51" s="11">
        <f t="shared" si="1"/>
        <v>0</v>
      </c>
      <c r="F51" s="11">
        <f t="shared" si="2"/>
        <v>-14737046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550</v>
      </c>
      <c r="E52" s="11">
        <f t="shared" si="1"/>
        <v>0</v>
      </c>
      <c r="F52" s="11">
        <f t="shared" si="2"/>
        <v>-29315000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549</v>
      </c>
      <c r="E53" s="11">
        <f t="shared" si="1"/>
        <v>1</v>
      </c>
      <c r="F53" s="11">
        <f t="shared" si="2"/>
        <v>548000000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543</v>
      </c>
      <c r="E54" s="11">
        <f t="shared" si="1"/>
        <v>0</v>
      </c>
      <c r="F54" s="11">
        <f t="shared" si="2"/>
        <v>-11403000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542</v>
      </c>
      <c r="E55" s="11">
        <f t="shared" si="1"/>
        <v>0</v>
      </c>
      <c r="F55" s="11">
        <f t="shared" si="2"/>
        <v>-531431000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542</v>
      </c>
      <c r="E56" s="11">
        <f t="shared" si="1"/>
        <v>0</v>
      </c>
      <c r="F56" s="11">
        <f t="shared" si="2"/>
        <v>-24390000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529</v>
      </c>
      <c r="E57" s="11">
        <f t="shared" si="1"/>
        <v>1</v>
      </c>
      <c r="F57" s="11">
        <f t="shared" si="2"/>
        <v>1586739792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529</v>
      </c>
      <c r="E58" s="11">
        <f t="shared" si="1"/>
        <v>1</v>
      </c>
      <c r="F58" s="11">
        <f t="shared" si="2"/>
        <v>1056000000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528</v>
      </c>
      <c r="E59" s="11">
        <f t="shared" si="1"/>
        <v>1</v>
      </c>
      <c r="F59" s="11">
        <f t="shared" si="2"/>
        <v>1054000000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528</v>
      </c>
      <c r="E60" s="11">
        <f t="shared" si="1"/>
        <v>0</v>
      </c>
      <c r="F60" s="11">
        <f t="shared" si="2"/>
        <v>-3696792000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504</v>
      </c>
      <c r="E61" s="11">
        <f t="shared" si="1"/>
        <v>1</v>
      </c>
      <c r="F61" s="11">
        <f t="shared" si="2"/>
        <v>1509000000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503</v>
      </c>
      <c r="E62" s="11">
        <f t="shared" si="1"/>
        <v>0</v>
      </c>
      <c r="F62" s="11">
        <f t="shared" si="2"/>
        <v>-13635827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503</v>
      </c>
      <c r="E63" s="11">
        <f t="shared" si="1"/>
        <v>0</v>
      </c>
      <c r="F63" s="11">
        <f t="shared" si="2"/>
        <v>-16593467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503</v>
      </c>
      <c r="E64" s="11">
        <f t="shared" si="1"/>
        <v>1</v>
      </c>
      <c r="F64" s="11">
        <f t="shared" si="2"/>
        <v>1506000000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503</v>
      </c>
      <c r="E65" s="11">
        <f t="shared" si="1"/>
        <v>1</v>
      </c>
      <c r="F65" s="11">
        <f t="shared" si="2"/>
        <v>1490940000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503</v>
      </c>
      <c r="E66" s="11">
        <f t="shared" si="1"/>
        <v>1</v>
      </c>
      <c r="F66" s="11">
        <f t="shared" si="2"/>
        <v>502000000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503</v>
      </c>
      <c r="E67" s="11">
        <f t="shared" ref="E67:E130" si="4">IF(B67&gt;0,1,0)</f>
        <v>1</v>
      </c>
      <c r="F67" s="11">
        <f t="shared" ref="F67:F200" si="5">B67*(D67-E67)</f>
        <v>15060000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502</v>
      </c>
      <c r="E68" s="11">
        <f t="shared" si="4"/>
        <v>1</v>
      </c>
      <c r="F68" s="11">
        <f t="shared" si="5"/>
        <v>15030000000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501</v>
      </c>
      <c r="E69" s="11">
        <f t="shared" si="4"/>
        <v>0</v>
      </c>
      <c r="F69" s="11">
        <f t="shared" si="5"/>
        <v>-100200000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501</v>
      </c>
      <c r="E70" s="11">
        <f t="shared" si="4"/>
        <v>1</v>
      </c>
      <c r="F70" s="11">
        <f t="shared" si="5"/>
        <v>700000000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501</v>
      </c>
      <c r="E71" s="11">
        <f t="shared" si="4"/>
        <v>1</v>
      </c>
      <c r="F71" s="11">
        <f t="shared" si="5"/>
        <v>1300000000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501</v>
      </c>
      <c r="E72" s="11">
        <f t="shared" si="4"/>
        <v>0</v>
      </c>
      <c r="F72" s="11">
        <f t="shared" si="5"/>
        <v>-501000000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499</v>
      </c>
      <c r="E73" s="11">
        <f t="shared" si="4"/>
        <v>1</v>
      </c>
      <c r="F73" s="11">
        <f t="shared" si="5"/>
        <v>7470000000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494</v>
      </c>
      <c r="E74" s="11">
        <f t="shared" si="4"/>
        <v>0</v>
      </c>
      <c r="F74" s="11">
        <f t="shared" si="5"/>
        <v>-7412074800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492</v>
      </c>
      <c r="E75" s="11">
        <f t="shared" si="4"/>
        <v>0</v>
      </c>
      <c r="F75" s="11">
        <f t="shared" si="5"/>
        <v>-1476000000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492</v>
      </c>
      <c r="E76" s="11">
        <f t="shared" si="4"/>
        <v>0</v>
      </c>
      <c r="F76" s="11">
        <f t="shared" si="5"/>
        <v>-98400000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492</v>
      </c>
      <c r="E77" s="11">
        <f t="shared" si="4"/>
        <v>0</v>
      </c>
      <c r="F77" s="11">
        <f t="shared" si="5"/>
        <v>-5905476000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488</v>
      </c>
      <c r="E78" s="11">
        <f t="shared" si="4"/>
        <v>0</v>
      </c>
      <c r="F78" s="11">
        <f t="shared" si="5"/>
        <v>-1464439200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483</v>
      </c>
      <c r="E79" s="11">
        <f t="shared" si="4"/>
        <v>1</v>
      </c>
      <c r="F79" s="11">
        <f t="shared" si="5"/>
        <v>11086000000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478</v>
      </c>
      <c r="E80" s="11">
        <f t="shared" si="4"/>
        <v>0</v>
      </c>
      <c r="F80" s="11">
        <f t="shared" si="5"/>
        <v>-287039000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478</v>
      </c>
      <c r="E81" s="11">
        <f t="shared" si="4"/>
        <v>0</v>
      </c>
      <c r="F81" s="11">
        <f t="shared" si="5"/>
        <v>-95600000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477</v>
      </c>
      <c r="E82" s="11">
        <f t="shared" si="4"/>
        <v>1</v>
      </c>
      <c r="F82" s="11">
        <f t="shared" si="5"/>
        <v>134813196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477</v>
      </c>
      <c r="E83" s="11">
        <f t="shared" si="4"/>
        <v>0</v>
      </c>
      <c r="F83" s="11">
        <f t="shared" si="5"/>
        <v>-95400000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475</v>
      </c>
      <c r="E84" s="11">
        <f t="shared" si="4"/>
        <v>1</v>
      </c>
      <c r="F84" s="11">
        <f t="shared" si="5"/>
        <v>948000000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472</v>
      </c>
      <c r="E85" s="11">
        <f t="shared" si="4"/>
        <v>0</v>
      </c>
      <c r="F85" s="11">
        <f t="shared" si="5"/>
        <v>-94400000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466</v>
      </c>
      <c r="E86" s="11">
        <f t="shared" si="4"/>
        <v>0</v>
      </c>
      <c r="F86" s="11">
        <f t="shared" si="5"/>
        <v>-93200000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464</v>
      </c>
      <c r="E87" s="11">
        <f t="shared" si="4"/>
        <v>0</v>
      </c>
      <c r="F87" s="11">
        <f t="shared" si="5"/>
        <v>-614800000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449</v>
      </c>
      <c r="E88" s="11">
        <f t="shared" si="4"/>
        <v>0</v>
      </c>
      <c r="F88" s="11">
        <f t="shared" si="5"/>
        <v>-224500000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449</v>
      </c>
      <c r="E89" s="11">
        <f t="shared" si="4"/>
        <v>0</v>
      </c>
      <c r="F89" s="11">
        <f t="shared" si="5"/>
        <v>-53880000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447</v>
      </c>
      <c r="E90" s="11">
        <f t="shared" si="4"/>
        <v>1</v>
      </c>
      <c r="F90" s="11">
        <f t="shared" si="5"/>
        <v>190979430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444</v>
      </c>
      <c r="E91" s="11">
        <f t="shared" si="4"/>
        <v>0</v>
      </c>
      <c r="F91" s="11">
        <f t="shared" si="5"/>
        <v>-1332888000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442</v>
      </c>
      <c r="E92" s="11">
        <f t="shared" si="4"/>
        <v>0</v>
      </c>
      <c r="F92" s="11">
        <f t="shared" si="5"/>
        <v>-90610000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442</v>
      </c>
      <c r="E93" s="11">
        <f t="shared" si="4"/>
        <v>0</v>
      </c>
      <c r="F93" s="11">
        <f t="shared" si="5"/>
        <v>-154921000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431</v>
      </c>
      <c r="E94" s="11">
        <f t="shared" si="4"/>
        <v>1</v>
      </c>
      <c r="F94" s="11">
        <f t="shared" si="5"/>
        <v>430000000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426</v>
      </c>
      <c r="E95" s="11">
        <f t="shared" si="4"/>
        <v>1</v>
      </c>
      <c r="F95" s="11">
        <f t="shared" si="5"/>
        <v>3825000000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424</v>
      </c>
      <c r="E96" s="11">
        <f t="shared" si="4"/>
        <v>0</v>
      </c>
      <c r="F96" s="11">
        <f t="shared" si="5"/>
        <v>-11024000000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424</v>
      </c>
      <c r="E97" s="11">
        <f t="shared" si="4"/>
        <v>0</v>
      </c>
      <c r="F97" s="11">
        <f t="shared" si="5"/>
        <v>-11024000000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424</v>
      </c>
      <c r="E98" s="11">
        <f t="shared" si="4"/>
        <v>1</v>
      </c>
      <c r="F98" s="11">
        <f t="shared" si="5"/>
        <v>10998000000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424</v>
      </c>
      <c r="E99" s="11">
        <f t="shared" si="4"/>
        <v>0</v>
      </c>
      <c r="F99" s="11">
        <f t="shared" si="5"/>
        <v>-84800000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422</v>
      </c>
      <c r="E100" s="11">
        <f t="shared" si="4"/>
        <v>1</v>
      </c>
      <c r="F100" s="11">
        <f t="shared" si="5"/>
        <v>12293200000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417</v>
      </c>
      <c r="E101" s="11">
        <f t="shared" si="4"/>
        <v>1</v>
      </c>
      <c r="F101" s="11">
        <f t="shared" si="5"/>
        <v>166377120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416</v>
      </c>
      <c r="E102" s="11">
        <f t="shared" si="4"/>
        <v>1</v>
      </c>
      <c r="F102" s="11">
        <f t="shared" si="5"/>
        <v>830000000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415</v>
      </c>
      <c r="E103" s="11">
        <f t="shared" si="4"/>
        <v>1</v>
      </c>
      <c r="F103" s="11">
        <f t="shared" si="5"/>
        <v>3105000000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415</v>
      </c>
      <c r="E104" s="11">
        <f t="shared" si="4"/>
        <v>0</v>
      </c>
      <c r="F104" s="11">
        <f t="shared" si="5"/>
        <v>-27390000000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415</v>
      </c>
      <c r="E105" s="11">
        <f t="shared" si="4"/>
        <v>0</v>
      </c>
      <c r="F105" s="11">
        <f t="shared" si="5"/>
        <v>-60175000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413</v>
      </c>
      <c r="E106" s="11">
        <f t="shared" si="4"/>
        <v>1</v>
      </c>
      <c r="F106" s="11">
        <f t="shared" si="5"/>
        <v>2472000000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411</v>
      </c>
      <c r="E107" s="11">
        <f t="shared" si="4"/>
        <v>0</v>
      </c>
      <c r="F107" s="11">
        <f t="shared" si="5"/>
        <v>-2468424900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408</v>
      </c>
      <c r="E108" s="11">
        <f t="shared" si="4"/>
        <v>1</v>
      </c>
      <c r="F108" s="11">
        <f t="shared" si="5"/>
        <v>2442000000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396</v>
      </c>
      <c r="E109" s="11">
        <f t="shared" si="4"/>
        <v>0</v>
      </c>
      <c r="F109" s="11">
        <f t="shared" si="5"/>
        <v>-47520000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395</v>
      </c>
      <c r="E110" s="11">
        <f t="shared" si="4"/>
        <v>1</v>
      </c>
      <c r="F110" s="11">
        <f t="shared" si="5"/>
        <v>1576000000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394</v>
      </c>
      <c r="E111" s="11">
        <f t="shared" si="4"/>
        <v>1</v>
      </c>
      <c r="F111" s="11">
        <f t="shared" si="5"/>
        <v>1100400000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390</v>
      </c>
      <c r="E112" s="11">
        <f t="shared" si="4"/>
        <v>0</v>
      </c>
      <c r="F112" s="11">
        <f t="shared" si="5"/>
        <v>-78000000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389</v>
      </c>
      <c r="E113" s="11">
        <f t="shared" si="4"/>
        <v>1</v>
      </c>
      <c r="F113" s="11">
        <f t="shared" si="5"/>
        <v>28056280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372</v>
      </c>
      <c r="E114" s="11">
        <f t="shared" si="4"/>
        <v>0</v>
      </c>
      <c r="F114" s="11">
        <f t="shared" si="5"/>
        <v>-74400000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371</v>
      </c>
      <c r="E115" s="11">
        <f t="shared" si="4"/>
        <v>0</v>
      </c>
      <c r="F115" s="23">
        <f t="shared" si="5"/>
        <v>-4081000000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371</v>
      </c>
      <c r="E116" s="11">
        <f t="shared" si="4"/>
        <v>0</v>
      </c>
      <c r="F116" s="11">
        <f t="shared" si="5"/>
        <v>-74200000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369</v>
      </c>
      <c r="E117" s="11">
        <f t="shared" si="4"/>
        <v>0</v>
      </c>
      <c r="F117" s="11">
        <f t="shared" si="5"/>
        <v>-166234500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369</v>
      </c>
      <c r="E118" s="11">
        <f t="shared" si="4"/>
        <v>0</v>
      </c>
      <c r="F118" s="11">
        <f t="shared" si="5"/>
        <v>-73800000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363</v>
      </c>
      <c r="E119" s="11">
        <f t="shared" si="4"/>
        <v>0</v>
      </c>
      <c r="F119" s="11">
        <f t="shared" si="5"/>
        <v>-56101650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363</v>
      </c>
      <c r="E120" s="11">
        <f t="shared" si="4"/>
        <v>0</v>
      </c>
      <c r="F120" s="11">
        <f t="shared" si="5"/>
        <v>-116160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362</v>
      </c>
      <c r="E121" s="11">
        <f t="shared" si="4"/>
        <v>0</v>
      </c>
      <c r="F121" s="11">
        <f t="shared" si="5"/>
        <v>-156384000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356</v>
      </c>
      <c r="E122" s="11">
        <f t="shared" si="4"/>
        <v>1</v>
      </c>
      <c r="F122" s="11">
        <f t="shared" si="5"/>
        <v>26285265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335</v>
      </c>
      <c r="E123" s="11">
        <f t="shared" si="4"/>
        <v>0</v>
      </c>
      <c r="F123" s="11">
        <f t="shared" si="5"/>
        <v>-17420000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294</v>
      </c>
      <c r="E124" s="11">
        <f t="shared" si="4"/>
        <v>1</v>
      </c>
      <c r="F124" s="11">
        <f t="shared" si="5"/>
        <v>347791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293</v>
      </c>
      <c r="E125" s="11">
        <f t="shared" si="4"/>
        <v>1</v>
      </c>
      <c r="F125" s="11">
        <f t="shared" si="5"/>
        <v>700800000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291</v>
      </c>
      <c r="E126" s="11">
        <f t="shared" si="4"/>
        <v>1</v>
      </c>
      <c r="F126" s="11">
        <f t="shared" si="5"/>
        <v>389412000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291</v>
      </c>
      <c r="E127" s="11">
        <f t="shared" si="4"/>
        <v>1</v>
      </c>
      <c r="F127" s="11">
        <f t="shared" si="5"/>
        <v>389412000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279</v>
      </c>
      <c r="E128" s="11">
        <f t="shared" si="4"/>
        <v>0</v>
      </c>
      <c r="F128" s="11">
        <f t="shared" si="5"/>
        <v>-55800000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277</v>
      </c>
      <c r="E129" s="11">
        <f t="shared" si="4"/>
        <v>0</v>
      </c>
      <c r="F129" s="11">
        <f>B129*(D129-E129)</f>
        <v>-4326186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276</v>
      </c>
      <c r="E130" s="11">
        <f t="shared" si="4"/>
        <v>0</v>
      </c>
      <c r="F130" s="11">
        <f t="shared" si="5"/>
        <v>-55200000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275</v>
      </c>
      <c r="E131" s="11">
        <f t="shared" ref="E131:E201" si="7">IF(B131&gt;0,1,0)</f>
        <v>0</v>
      </c>
      <c r="F131" s="11">
        <f t="shared" si="5"/>
        <v>-55000000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274</v>
      </c>
      <c r="E132" s="11">
        <f t="shared" si="7"/>
        <v>0</v>
      </c>
      <c r="F132" s="11">
        <f t="shared" si="5"/>
        <v>-106860000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274</v>
      </c>
      <c r="E133" s="11">
        <f t="shared" si="7"/>
        <v>0</v>
      </c>
      <c r="F133" s="11">
        <f t="shared" si="5"/>
        <v>-6713000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273</v>
      </c>
      <c r="E134" s="11">
        <f t="shared" si="7"/>
        <v>0</v>
      </c>
      <c r="F134" s="11">
        <f t="shared" si="5"/>
        <v>-25935000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269</v>
      </c>
      <c r="E135" s="11">
        <f t="shared" si="7"/>
        <v>0</v>
      </c>
      <c r="F135" s="11">
        <f t="shared" si="5"/>
        <v>-53800000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267</v>
      </c>
      <c r="E136" s="11">
        <f t="shared" si="7"/>
        <v>1</v>
      </c>
      <c r="F136" s="11">
        <f t="shared" si="5"/>
        <v>13300000000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266</v>
      </c>
      <c r="E137" s="11">
        <f t="shared" si="7"/>
        <v>1</v>
      </c>
      <c r="F137" s="11">
        <f t="shared" si="5"/>
        <v>3180000000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264</v>
      </c>
      <c r="E138" s="11">
        <f t="shared" si="7"/>
        <v>1</v>
      </c>
      <c r="F138" s="11">
        <f t="shared" si="5"/>
        <v>526000000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263</v>
      </c>
      <c r="E139" s="11">
        <f t="shared" si="7"/>
        <v>1</v>
      </c>
      <c r="F139" s="11">
        <f t="shared" si="5"/>
        <v>22934956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250</v>
      </c>
      <c r="E140" s="11">
        <f t="shared" si="7"/>
        <v>0</v>
      </c>
      <c r="F140" s="11">
        <f t="shared" si="5"/>
        <v>-750225000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249</v>
      </c>
      <c r="E141" s="11">
        <f t="shared" si="7"/>
        <v>0</v>
      </c>
      <c r="F141" s="11">
        <f t="shared" si="5"/>
        <v>-747224100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232</v>
      </c>
      <c r="E142" s="11">
        <f t="shared" si="7"/>
        <v>1</v>
      </c>
      <c r="F142" s="11">
        <f t="shared" si="5"/>
        <v>139067775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232</v>
      </c>
      <c r="E143" s="11">
        <f t="shared" si="7"/>
        <v>0</v>
      </c>
      <c r="F143" s="11">
        <f t="shared" si="5"/>
        <v>-10672000000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201</v>
      </c>
      <c r="E144" s="11">
        <f t="shared" si="7"/>
        <v>1</v>
      </c>
      <c r="F144" s="11">
        <f t="shared" si="5"/>
        <v>30821400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200</v>
      </c>
      <c r="E145" s="11">
        <f t="shared" si="7"/>
        <v>1</v>
      </c>
      <c r="F145" s="11">
        <f t="shared" si="5"/>
        <v>597000000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197</v>
      </c>
      <c r="E146" s="11">
        <f t="shared" si="7"/>
        <v>0</v>
      </c>
      <c r="F146" s="11">
        <f t="shared" si="5"/>
        <v>-39400000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192</v>
      </c>
      <c r="E147" s="11">
        <f t="shared" si="7"/>
        <v>0</v>
      </c>
      <c r="F147" s="11">
        <f t="shared" si="5"/>
        <v>-38400000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191</v>
      </c>
      <c r="E148" s="11">
        <f t="shared" si="7"/>
        <v>0</v>
      </c>
      <c r="F148" s="11">
        <f t="shared" si="5"/>
        <v>-38200000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187</v>
      </c>
      <c r="E149" s="11">
        <f t="shared" si="7"/>
        <v>0</v>
      </c>
      <c r="F149" s="11">
        <f t="shared" si="5"/>
        <v>-37400000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186</v>
      </c>
      <c r="E150" s="11">
        <f t="shared" si="7"/>
        <v>1</v>
      </c>
      <c r="F150" s="11">
        <f t="shared" si="5"/>
        <v>4453579000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184</v>
      </c>
      <c r="E151" s="11">
        <f t="shared" si="7"/>
        <v>0</v>
      </c>
      <c r="F151" s="11">
        <f t="shared" si="5"/>
        <v>-36800000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178</v>
      </c>
      <c r="E152" s="11">
        <f t="shared" si="7"/>
        <v>0</v>
      </c>
      <c r="F152" s="11">
        <f t="shared" si="5"/>
        <v>-5340000000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177</v>
      </c>
      <c r="E153" s="11">
        <f t="shared" si="7"/>
        <v>0</v>
      </c>
      <c r="F153" s="11">
        <f t="shared" si="5"/>
        <v>-9204000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177</v>
      </c>
      <c r="E154" s="11">
        <f t="shared" si="7"/>
        <v>0</v>
      </c>
      <c r="F154" s="11">
        <f t="shared" si="5"/>
        <v>-24072000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172</v>
      </c>
      <c r="E155" s="11">
        <f t="shared" si="7"/>
        <v>1</v>
      </c>
      <c r="F155" s="11">
        <f t="shared" si="5"/>
        <v>513000000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171</v>
      </c>
      <c r="E156" s="11">
        <f t="shared" si="7"/>
        <v>1</v>
      </c>
      <c r="F156" s="11">
        <f t="shared" si="5"/>
        <v>32147510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171</v>
      </c>
      <c r="E157" s="11">
        <f t="shared" si="7"/>
        <v>1</v>
      </c>
      <c r="F157" s="11">
        <f t="shared" si="5"/>
        <v>4118709000</v>
      </c>
      <c r="G157" s="11" t="s">
        <v>737</v>
      </c>
    </row>
    <row r="158" spans="1:11" x14ac:dyDescent="0.25">
      <c r="A158" s="11" t="s">
        <v>756</v>
      </c>
      <c r="B158" s="3">
        <v>24295200</v>
      </c>
      <c r="C158" s="11">
        <v>0</v>
      </c>
      <c r="D158" s="11">
        <f t="shared" si="6"/>
        <v>163</v>
      </c>
      <c r="E158" s="11">
        <f t="shared" si="7"/>
        <v>1</v>
      </c>
      <c r="F158" s="11">
        <f t="shared" si="5"/>
        <v>3935822400</v>
      </c>
      <c r="G158" s="11" t="s">
        <v>751</v>
      </c>
    </row>
    <row r="159" spans="1:11" x14ac:dyDescent="0.25">
      <c r="A159" s="11" t="s">
        <v>756</v>
      </c>
      <c r="B159" s="3">
        <v>-201000</v>
      </c>
      <c r="C159" s="11">
        <v>5</v>
      </c>
      <c r="D159" s="11">
        <f t="shared" si="6"/>
        <v>163</v>
      </c>
      <c r="E159" s="11">
        <f t="shared" si="7"/>
        <v>0</v>
      </c>
      <c r="F159" s="11">
        <f t="shared" si="5"/>
        <v>-32763000</v>
      </c>
      <c r="G159" s="11" t="s">
        <v>761</v>
      </c>
    </row>
    <row r="160" spans="1:11" x14ac:dyDescent="0.25">
      <c r="A160" s="11" t="s">
        <v>762</v>
      </c>
      <c r="B160" s="3">
        <v>-200000</v>
      </c>
      <c r="C160" s="11">
        <v>3</v>
      </c>
      <c r="D160" s="11">
        <f t="shared" si="6"/>
        <v>158</v>
      </c>
      <c r="E160" s="11">
        <f t="shared" si="7"/>
        <v>0</v>
      </c>
      <c r="F160" s="11">
        <f t="shared" si="5"/>
        <v>-31600000</v>
      </c>
      <c r="G160" s="11" t="s">
        <v>763</v>
      </c>
    </row>
    <row r="161" spans="1:7" x14ac:dyDescent="0.25">
      <c r="A161" s="11" t="s">
        <v>769</v>
      </c>
      <c r="B161" s="3">
        <v>-200000</v>
      </c>
      <c r="C161" s="11">
        <v>4</v>
      </c>
      <c r="D161" s="11">
        <f t="shared" si="6"/>
        <v>155</v>
      </c>
      <c r="E161" s="11">
        <f t="shared" si="7"/>
        <v>0</v>
      </c>
      <c r="F161" s="11">
        <f t="shared" si="5"/>
        <v>-31000000</v>
      </c>
      <c r="G161" s="11" t="s">
        <v>763</v>
      </c>
    </row>
    <row r="162" spans="1:7" x14ac:dyDescent="0.25">
      <c r="A162" s="11" t="s">
        <v>771</v>
      </c>
      <c r="B162" s="3">
        <v>-200000</v>
      </c>
      <c r="C162" s="11">
        <v>3</v>
      </c>
      <c r="D162" s="11">
        <f t="shared" si="6"/>
        <v>151</v>
      </c>
      <c r="E162" s="11">
        <f t="shared" si="7"/>
        <v>0</v>
      </c>
      <c r="F162" s="11">
        <f t="shared" si="5"/>
        <v>-30200000</v>
      </c>
      <c r="G162" s="11" t="s">
        <v>763</v>
      </c>
    </row>
    <row r="163" spans="1:7" x14ac:dyDescent="0.25">
      <c r="A163" s="11" t="s">
        <v>772</v>
      </c>
      <c r="B163" s="3">
        <v>-200000</v>
      </c>
      <c r="C163" s="11">
        <v>7</v>
      </c>
      <c r="D163" s="11">
        <f t="shared" si="6"/>
        <v>148</v>
      </c>
      <c r="E163" s="11">
        <f t="shared" si="7"/>
        <v>0</v>
      </c>
      <c r="F163" s="11">
        <f t="shared" si="5"/>
        <v>-29600000</v>
      </c>
      <c r="G163" s="11" t="s">
        <v>763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141</v>
      </c>
      <c r="E164" s="11">
        <f t="shared" si="7"/>
        <v>1</v>
      </c>
      <c r="F164" s="11">
        <f t="shared" si="5"/>
        <v>64074360</v>
      </c>
      <c r="G164" s="11" t="s">
        <v>776</v>
      </c>
    </row>
    <row r="165" spans="1:7" x14ac:dyDescent="0.25">
      <c r="A165" s="11" t="s">
        <v>781</v>
      </c>
      <c r="B165" s="3">
        <v>2700000</v>
      </c>
      <c r="C165" s="11">
        <v>0</v>
      </c>
      <c r="D165" s="11">
        <f t="shared" si="6"/>
        <v>138</v>
      </c>
      <c r="E165" s="11">
        <f t="shared" si="7"/>
        <v>1</v>
      </c>
      <c r="F165" s="11">
        <f t="shared" si="5"/>
        <v>369900000</v>
      </c>
      <c r="G165" s="11" t="s">
        <v>782</v>
      </c>
    </row>
    <row r="166" spans="1:7" x14ac:dyDescent="0.25">
      <c r="A166" s="11" t="s">
        <v>781</v>
      </c>
      <c r="B166" s="3">
        <v>2500000</v>
      </c>
      <c r="C166" s="11">
        <v>7</v>
      </c>
      <c r="D166" s="11">
        <f t="shared" si="6"/>
        <v>138</v>
      </c>
      <c r="E166" s="11">
        <f t="shared" si="7"/>
        <v>1</v>
      </c>
      <c r="F166" s="11">
        <f t="shared" si="5"/>
        <v>342500000</v>
      </c>
      <c r="G166" s="11" t="s">
        <v>783</v>
      </c>
    </row>
    <row r="167" spans="1:7" x14ac:dyDescent="0.25">
      <c r="A167" s="11" t="s">
        <v>795</v>
      </c>
      <c r="B167" s="3">
        <v>-200000</v>
      </c>
      <c r="C167" s="11">
        <v>2</v>
      </c>
      <c r="D167" s="11">
        <f t="shared" si="6"/>
        <v>131</v>
      </c>
      <c r="E167" s="11">
        <f t="shared" si="7"/>
        <v>0</v>
      </c>
      <c r="F167" s="11">
        <f t="shared" si="5"/>
        <v>-26200000</v>
      </c>
      <c r="G167" s="11" t="s">
        <v>502</v>
      </c>
    </row>
    <row r="168" spans="1:7" x14ac:dyDescent="0.25">
      <c r="A168" s="11" t="s">
        <v>797</v>
      </c>
      <c r="B168" s="3">
        <v>-200000</v>
      </c>
      <c r="C168" s="11">
        <v>6</v>
      </c>
      <c r="D168" s="11">
        <f t="shared" si="6"/>
        <v>129</v>
      </c>
      <c r="E168" s="11">
        <f t="shared" si="7"/>
        <v>0</v>
      </c>
      <c r="F168" s="11">
        <f t="shared" si="5"/>
        <v>-25800000</v>
      </c>
      <c r="G168" s="11" t="s">
        <v>502</v>
      </c>
    </row>
    <row r="169" spans="1:7" x14ac:dyDescent="0.25">
      <c r="A169" s="11" t="s">
        <v>799</v>
      </c>
      <c r="B169" s="3">
        <v>-200000</v>
      </c>
      <c r="C169" s="11">
        <v>3</v>
      </c>
      <c r="D169" s="11">
        <f t="shared" si="6"/>
        <v>123</v>
      </c>
      <c r="E169" s="11">
        <f t="shared" si="7"/>
        <v>0</v>
      </c>
      <c r="F169" s="11">
        <f t="shared" si="5"/>
        <v>-24600000</v>
      </c>
      <c r="G169" s="11" t="s">
        <v>502</v>
      </c>
    </row>
    <row r="170" spans="1:7" x14ac:dyDescent="0.25">
      <c r="A170" s="11" t="s">
        <v>804</v>
      </c>
      <c r="B170" s="3">
        <v>-200000</v>
      </c>
      <c r="C170" s="11">
        <v>0</v>
      </c>
      <c r="D170" s="11">
        <f t="shared" si="6"/>
        <v>120</v>
      </c>
      <c r="E170" s="11">
        <f t="shared" si="7"/>
        <v>0</v>
      </c>
      <c r="F170" s="11">
        <f t="shared" si="5"/>
        <v>-24000000</v>
      </c>
      <c r="G170" s="11" t="s">
        <v>502</v>
      </c>
    </row>
    <row r="171" spans="1:7" x14ac:dyDescent="0.25">
      <c r="A171" s="11" t="s">
        <v>804</v>
      </c>
      <c r="B171" s="3">
        <v>3000000</v>
      </c>
      <c r="C171" s="11">
        <v>3</v>
      </c>
      <c r="D171" s="11">
        <f t="shared" si="6"/>
        <v>120</v>
      </c>
      <c r="E171" s="11">
        <f t="shared" si="7"/>
        <v>1</v>
      </c>
      <c r="F171" s="11">
        <f t="shared" si="5"/>
        <v>357000000</v>
      </c>
      <c r="G171" s="11" t="s">
        <v>805</v>
      </c>
    </row>
    <row r="172" spans="1:7" x14ac:dyDescent="0.25">
      <c r="A172" s="11" t="s">
        <v>806</v>
      </c>
      <c r="B172" s="3">
        <v>-200000</v>
      </c>
      <c r="C172" s="11">
        <v>1</v>
      </c>
      <c r="D172" s="11">
        <f t="shared" si="6"/>
        <v>117</v>
      </c>
      <c r="E172" s="11">
        <f t="shared" si="7"/>
        <v>0</v>
      </c>
      <c r="F172" s="11">
        <f t="shared" si="5"/>
        <v>-23400000</v>
      </c>
      <c r="G172" s="11" t="s">
        <v>158</v>
      </c>
    </row>
    <row r="173" spans="1:7" x14ac:dyDescent="0.25">
      <c r="A173" s="11" t="s">
        <v>806</v>
      </c>
      <c r="B173" s="3">
        <v>3000000</v>
      </c>
      <c r="C173" s="11">
        <v>1</v>
      </c>
      <c r="D173" s="11">
        <f t="shared" si="6"/>
        <v>116</v>
      </c>
      <c r="E173" s="11">
        <f t="shared" si="7"/>
        <v>1</v>
      </c>
      <c r="F173" s="11">
        <f t="shared" si="5"/>
        <v>345000000</v>
      </c>
      <c r="G173" s="11" t="s">
        <v>808</v>
      </c>
    </row>
    <row r="174" spans="1:7" x14ac:dyDescent="0.25">
      <c r="A174" s="11" t="s">
        <v>807</v>
      </c>
      <c r="B174" s="3">
        <v>2000000</v>
      </c>
      <c r="C174" s="11">
        <v>1</v>
      </c>
      <c r="D174" s="11">
        <f t="shared" si="6"/>
        <v>115</v>
      </c>
      <c r="E174" s="11">
        <f t="shared" si="7"/>
        <v>1</v>
      </c>
      <c r="F174" s="11">
        <f t="shared" si="5"/>
        <v>228000000</v>
      </c>
      <c r="G174" s="11" t="s">
        <v>809</v>
      </c>
    </row>
    <row r="175" spans="1:7" x14ac:dyDescent="0.25">
      <c r="A175" s="11" t="s">
        <v>807</v>
      </c>
      <c r="B175" s="3">
        <v>1300000</v>
      </c>
      <c r="C175" s="11">
        <v>2</v>
      </c>
      <c r="D175" s="11">
        <f t="shared" si="6"/>
        <v>114</v>
      </c>
      <c r="E175" s="11">
        <f t="shared" si="7"/>
        <v>1</v>
      </c>
      <c r="F175" s="11">
        <f t="shared" si="5"/>
        <v>146900000</v>
      </c>
      <c r="G175" s="11" t="s">
        <v>810</v>
      </c>
    </row>
    <row r="176" spans="1:7" x14ac:dyDescent="0.25">
      <c r="A176" s="11" t="s">
        <v>811</v>
      </c>
      <c r="B176" s="3">
        <v>-200000</v>
      </c>
      <c r="C176" s="11">
        <v>0</v>
      </c>
      <c r="D176" s="11">
        <f t="shared" si="6"/>
        <v>112</v>
      </c>
      <c r="E176" s="11">
        <f t="shared" si="7"/>
        <v>0</v>
      </c>
      <c r="F176" s="11">
        <f t="shared" si="5"/>
        <v>-22400000</v>
      </c>
      <c r="G176" s="11" t="s">
        <v>763</v>
      </c>
    </row>
    <row r="177" spans="1:7" x14ac:dyDescent="0.25">
      <c r="A177" s="11" t="s">
        <v>811</v>
      </c>
      <c r="B177" s="3">
        <v>1700000</v>
      </c>
      <c r="C177" s="11">
        <v>1</v>
      </c>
      <c r="D177" s="11">
        <f t="shared" si="6"/>
        <v>112</v>
      </c>
      <c r="E177" s="11">
        <f t="shared" si="7"/>
        <v>1</v>
      </c>
      <c r="F177" s="11">
        <f t="shared" si="5"/>
        <v>188700000</v>
      </c>
      <c r="G177" s="11" t="s">
        <v>812</v>
      </c>
    </row>
    <row r="178" spans="1:7" x14ac:dyDescent="0.25">
      <c r="A178" s="11" t="s">
        <v>813</v>
      </c>
      <c r="B178" s="3">
        <v>-200000</v>
      </c>
      <c r="C178" s="11">
        <v>1</v>
      </c>
      <c r="D178" s="11">
        <f t="shared" si="6"/>
        <v>111</v>
      </c>
      <c r="E178" s="11">
        <f t="shared" si="7"/>
        <v>0</v>
      </c>
      <c r="F178" s="11">
        <f t="shared" si="5"/>
        <v>-22200000</v>
      </c>
      <c r="G178" s="11" t="s">
        <v>502</v>
      </c>
    </row>
    <row r="179" spans="1:7" x14ac:dyDescent="0.25">
      <c r="A179" s="11" t="s">
        <v>815</v>
      </c>
      <c r="B179" s="3">
        <v>571492</v>
      </c>
      <c r="C179" s="11">
        <v>3</v>
      </c>
      <c r="D179" s="11">
        <f t="shared" si="6"/>
        <v>110</v>
      </c>
      <c r="E179" s="11">
        <f t="shared" si="7"/>
        <v>1</v>
      </c>
      <c r="F179" s="11">
        <f t="shared" si="5"/>
        <v>62292628</v>
      </c>
      <c r="G179" s="11" t="s">
        <v>242</v>
      </c>
    </row>
    <row r="180" spans="1:7" x14ac:dyDescent="0.25">
      <c r="A180" s="11" t="s">
        <v>820</v>
      </c>
      <c r="B180" s="3">
        <v>3000000</v>
      </c>
      <c r="C180" s="11">
        <v>7</v>
      </c>
      <c r="D180" s="11">
        <f t="shared" si="6"/>
        <v>107</v>
      </c>
      <c r="E180" s="11">
        <f t="shared" si="7"/>
        <v>1</v>
      </c>
      <c r="F180" s="11">
        <f t="shared" si="5"/>
        <v>318000000</v>
      </c>
      <c r="G180" s="11" t="s">
        <v>823</v>
      </c>
    </row>
    <row r="181" spans="1:7" x14ac:dyDescent="0.25">
      <c r="A181" s="11" t="s">
        <v>832</v>
      </c>
      <c r="B181" s="3">
        <v>2000000</v>
      </c>
      <c r="C181" s="11">
        <v>8</v>
      </c>
      <c r="D181" s="11">
        <f t="shared" si="6"/>
        <v>100</v>
      </c>
      <c r="E181" s="11">
        <f t="shared" si="7"/>
        <v>1</v>
      </c>
      <c r="F181" s="11">
        <f t="shared" si="5"/>
        <v>198000000</v>
      </c>
      <c r="G181" s="11" t="s">
        <v>833</v>
      </c>
    </row>
    <row r="182" spans="1:7" x14ac:dyDescent="0.25">
      <c r="A182" s="11" t="s">
        <v>844</v>
      </c>
      <c r="B182" s="3">
        <v>-2200700</v>
      </c>
      <c r="C182" s="11">
        <v>12</v>
      </c>
      <c r="D182" s="11">
        <f t="shared" si="6"/>
        <v>92</v>
      </c>
      <c r="E182" s="11">
        <f t="shared" si="7"/>
        <v>0</v>
      </c>
      <c r="F182" s="11">
        <f t="shared" si="5"/>
        <v>-202464400</v>
      </c>
      <c r="G182" s="11" t="s">
        <v>846</v>
      </c>
    </row>
    <row r="183" spans="1:7" x14ac:dyDescent="0.25">
      <c r="A183" s="11" t="s">
        <v>854</v>
      </c>
      <c r="B183" s="3">
        <v>675087</v>
      </c>
      <c r="C183" s="11">
        <v>30</v>
      </c>
      <c r="D183" s="11">
        <f t="shared" si="6"/>
        <v>80</v>
      </c>
      <c r="E183" s="11">
        <f t="shared" si="7"/>
        <v>1</v>
      </c>
      <c r="F183" s="11">
        <f t="shared" si="5"/>
        <v>53331873</v>
      </c>
      <c r="G183" s="11" t="s">
        <v>264</v>
      </c>
    </row>
    <row r="184" spans="1:7" x14ac:dyDescent="0.25">
      <c r="A184" s="11" t="s">
        <v>891</v>
      </c>
      <c r="B184" s="3">
        <v>677000</v>
      </c>
      <c r="C184" s="11">
        <v>15</v>
      </c>
      <c r="D184" s="11">
        <f>D185+C184</f>
        <v>50</v>
      </c>
      <c r="E184" s="11">
        <f t="shared" si="7"/>
        <v>1</v>
      </c>
      <c r="F184" s="11">
        <f t="shared" si="5"/>
        <v>33173000</v>
      </c>
      <c r="G184" s="11" t="s">
        <v>400</v>
      </c>
    </row>
    <row r="185" spans="1:7" x14ac:dyDescent="0.25">
      <c r="A185" s="11" t="s">
        <v>916</v>
      </c>
      <c r="B185" s="3">
        <v>-10000</v>
      </c>
      <c r="C185" s="11">
        <v>5</v>
      </c>
      <c r="D185" s="11">
        <f t="shared" si="6"/>
        <v>35</v>
      </c>
      <c r="E185" s="11">
        <f t="shared" si="7"/>
        <v>0</v>
      </c>
      <c r="F185" s="11">
        <f t="shared" si="5"/>
        <v>-350000</v>
      </c>
      <c r="G185" s="11" t="s">
        <v>922</v>
      </c>
    </row>
    <row r="186" spans="1:7" x14ac:dyDescent="0.25">
      <c r="A186" s="11" t="s">
        <v>933</v>
      </c>
      <c r="B186" s="3">
        <v>-80500000</v>
      </c>
      <c r="C186" s="11">
        <v>5</v>
      </c>
      <c r="D186" s="11">
        <f t="shared" ref="D186:D201" si="8">D187+C186</f>
        <v>30</v>
      </c>
      <c r="E186" s="11">
        <f t="shared" si="7"/>
        <v>0</v>
      </c>
      <c r="F186" s="11">
        <f t="shared" si="5"/>
        <v>-2415000000</v>
      </c>
      <c r="G186" s="11" t="s">
        <v>1034</v>
      </c>
    </row>
    <row r="187" spans="1:7" x14ac:dyDescent="0.25">
      <c r="A187" s="11" t="s">
        <v>1033</v>
      </c>
      <c r="B187" s="3">
        <v>-1100000</v>
      </c>
      <c r="C187" s="11">
        <v>0</v>
      </c>
      <c r="D187" s="11">
        <f t="shared" si="8"/>
        <v>25</v>
      </c>
      <c r="E187" s="11">
        <f t="shared" si="7"/>
        <v>0</v>
      </c>
      <c r="F187" s="11">
        <f t="shared" si="5"/>
        <v>-27500000</v>
      </c>
      <c r="G187" s="11" t="s">
        <v>1034</v>
      </c>
    </row>
    <row r="188" spans="1:7" x14ac:dyDescent="0.25">
      <c r="A188" s="11" t="s">
        <v>1033</v>
      </c>
      <c r="B188" s="3">
        <v>3000000</v>
      </c>
      <c r="C188" s="11">
        <v>1</v>
      </c>
      <c r="D188" s="11">
        <f t="shared" si="8"/>
        <v>25</v>
      </c>
      <c r="E188" s="11">
        <f t="shared" si="7"/>
        <v>1</v>
      </c>
      <c r="F188" s="11">
        <f t="shared" si="5"/>
        <v>72000000</v>
      </c>
      <c r="G188" s="11" t="s">
        <v>1045</v>
      </c>
    </row>
    <row r="189" spans="1:7" x14ac:dyDescent="0.25">
      <c r="A189" s="11" t="s">
        <v>1044</v>
      </c>
      <c r="B189" s="3">
        <v>2000000</v>
      </c>
      <c r="C189" s="11">
        <v>0</v>
      </c>
      <c r="D189" s="11">
        <f t="shared" si="8"/>
        <v>24</v>
      </c>
      <c r="E189" s="11">
        <f t="shared" si="7"/>
        <v>1</v>
      </c>
      <c r="F189" s="11">
        <f t="shared" si="5"/>
        <v>46000000</v>
      </c>
      <c r="G189" s="11" t="s">
        <v>1045</v>
      </c>
    </row>
    <row r="190" spans="1:7" x14ac:dyDescent="0.25">
      <c r="A190" s="11" t="s">
        <v>1044</v>
      </c>
      <c r="B190" s="3">
        <v>-5000000</v>
      </c>
      <c r="C190" s="11">
        <v>1</v>
      </c>
      <c r="D190" s="11">
        <f t="shared" si="8"/>
        <v>24</v>
      </c>
      <c r="E190" s="11">
        <f t="shared" si="7"/>
        <v>0</v>
      </c>
      <c r="F190" s="11">
        <f t="shared" si="5"/>
        <v>-120000000</v>
      </c>
      <c r="G190" s="11" t="s">
        <v>1034</v>
      </c>
    </row>
    <row r="191" spans="1:7" x14ac:dyDescent="0.25">
      <c r="A191" s="11" t="s">
        <v>1050</v>
      </c>
      <c r="B191" s="3">
        <v>483248</v>
      </c>
      <c r="C191" s="11">
        <v>4</v>
      </c>
      <c r="D191" s="11">
        <f t="shared" si="8"/>
        <v>23</v>
      </c>
      <c r="E191" s="11">
        <f t="shared" si="7"/>
        <v>1</v>
      </c>
      <c r="F191" s="11">
        <f t="shared" si="5"/>
        <v>10631456</v>
      </c>
      <c r="G191" s="11" t="s">
        <v>1052</v>
      </c>
    </row>
    <row r="192" spans="1:7" x14ac:dyDescent="0.25">
      <c r="A192" s="11" t="s">
        <v>1078</v>
      </c>
      <c r="B192" s="3">
        <v>-115300</v>
      </c>
      <c r="C192" s="11">
        <v>4</v>
      </c>
      <c r="D192" s="11">
        <f t="shared" si="8"/>
        <v>19</v>
      </c>
      <c r="E192" s="11">
        <f t="shared" si="7"/>
        <v>0</v>
      </c>
      <c r="F192" s="11">
        <f t="shared" si="5"/>
        <v>-2190700</v>
      </c>
      <c r="G192" s="11" t="s">
        <v>1079</v>
      </c>
    </row>
    <row r="193" spans="1:7" x14ac:dyDescent="0.25">
      <c r="A193" s="11" t="s">
        <v>1089</v>
      </c>
      <c r="B193" s="3">
        <v>90000000</v>
      </c>
      <c r="C193" s="11">
        <v>7</v>
      </c>
      <c r="D193" s="11">
        <f t="shared" si="8"/>
        <v>15</v>
      </c>
      <c r="E193" s="11">
        <f t="shared" si="7"/>
        <v>1</v>
      </c>
      <c r="F193" s="11">
        <f t="shared" si="5"/>
        <v>1260000000</v>
      </c>
      <c r="G193" s="11" t="s">
        <v>1090</v>
      </c>
    </row>
    <row r="194" spans="1:7" x14ac:dyDescent="0.25">
      <c r="A194" s="11" t="s">
        <v>1108</v>
      </c>
      <c r="B194" s="3">
        <v>52000000</v>
      </c>
      <c r="C194" s="11">
        <v>0</v>
      </c>
      <c r="D194" s="11">
        <f t="shared" si="8"/>
        <v>8</v>
      </c>
      <c r="E194" s="11">
        <f t="shared" si="7"/>
        <v>1</v>
      </c>
      <c r="F194" s="11">
        <f t="shared" si="5"/>
        <v>364000000</v>
      </c>
      <c r="G194" s="11" t="s">
        <v>1114</v>
      </c>
    </row>
    <row r="195" spans="1:7" x14ac:dyDescent="0.25">
      <c r="A195" s="11" t="s">
        <v>1108</v>
      </c>
      <c r="B195" s="3">
        <v>25000000</v>
      </c>
      <c r="C195" s="11">
        <v>0</v>
      </c>
      <c r="D195" s="11">
        <f t="shared" si="8"/>
        <v>8</v>
      </c>
      <c r="E195" s="11">
        <f t="shared" si="7"/>
        <v>1</v>
      </c>
      <c r="F195" s="11">
        <f t="shared" si="5"/>
        <v>175000000</v>
      </c>
      <c r="G195" s="11" t="s">
        <v>1115</v>
      </c>
    </row>
    <row r="196" spans="1:7" x14ac:dyDescent="0.25">
      <c r="A196" s="11" t="s">
        <v>1108</v>
      </c>
      <c r="B196" s="3">
        <v>-168000000</v>
      </c>
      <c r="C196" s="11">
        <v>7</v>
      </c>
      <c r="D196" s="11">
        <f t="shared" si="8"/>
        <v>8</v>
      </c>
      <c r="E196" s="11">
        <f t="shared" si="7"/>
        <v>0</v>
      </c>
      <c r="F196" s="11">
        <f t="shared" si="5"/>
        <v>-1344000000</v>
      </c>
      <c r="G196" s="11" t="s">
        <v>1116</v>
      </c>
    </row>
    <row r="197" spans="1:7" x14ac:dyDescent="0.25">
      <c r="A197" s="11" t="s">
        <v>1190</v>
      </c>
      <c r="B197" s="3">
        <v>-165500</v>
      </c>
      <c r="C197" s="11">
        <v>1</v>
      </c>
      <c r="D197" s="11">
        <f t="shared" si="8"/>
        <v>1</v>
      </c>
      <c r="E197" s="11">
        <f t="shared" si="7"/>
        <v>0</v>
      </c>
      <c r="F197" s="11">
        <f t="shared" si="5"/>
        <v>-165500</v>
      </c>
      <c r="G197" s="11" t="s">
        <v>1191</v>
      </c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818847</v>
      </c>
      <c r="C202" s="11"/>
      <c r="D202" s="11"/>
      <c r="E202" s="11"/>
      <c r="F202" s="29">
        <f>SUM(F2:F200)</f>
        <v>18753477329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27578643.130882353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abSelected="1" topLeftCell="A10" zoomScaleNormal="100" workbookViewId="0">
      <selection activeCell="L21" sqref="L2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7.5703125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936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940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1157</v>
      </c>
      <c r="N3" s="29">
        <v>46000000</v>
      </c>
      <c r="O3" s="29">
        <v>40000000</v>
      </c>
      <c r="P3" s="11" t="s">
        <v>938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-L60*12</f>
        <v>-37600000.000008002</v>
      </c>
      <c r="O6" s="29">
        <v>-25000000</v>
      </c>
      <c r="P6" s="11" t="s">
        <v>939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937</v>
      </c>
      <c r="N8" s="29">
        <f>L57*12</f>
        <v>10000000.000008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126399999.999992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899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1080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L29</f>
        <v>90815702.097694531</v>
      </c>
      <c r="G15" s="29">
        <f t="shared" si="0"/>
        <v>3737297.9023054689</v>
      </c>
      <c r="H15" s="11"/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ایلیا'!B202</f>
        <v>818847</v>
      </c>
      <c r="M16" s="2" t="s">
        <v>753</v>
      </c>
      <c r="N16" s="3">
        <f>'مسکن مریم یاران'!B127</f>
        <v>4027461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2" t="s">
        <v>657</v>
      </c>
      <c r="N17" s="3">
        <f>سارا!D156</f>
        <v>-360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30000000</v>
      </c>
      <c r="R18" s="121"/>
      <c r="S18" s="121"/>
      <c r="T18" s="122"/>
      <c r="U18" s="122"/>
      <c r="V18" s="122"/>
      <c r="W18" s="121"/>
      <c r="X18" s="121"/>
    </row>
    <row r="19" spans="1:24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v>-7245000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90000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7245000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923</v>
      </c>
      <c r="L22" s="43">
        <v>4800000</v>
      </c>
      <c r="M22" s="2" t="s">
        <v>755</v>
      </c>
      <c r="N22" s="3">
        <v>980000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934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1117</v>
      </c>
      <c r="L24" s="43">
        <f>سکه!T22</f>
        <v>91000000</v>
      </c>
      <c r="M24" s="2" t="s">
        <v>890</v>
      </c>
      <c r="N24" s="3">
        <v>5500000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1146</v>
      </c>
      <c r="L25" s="43">
        <f>'لیست خرید و فروش'!Z32</f>
        <v>28870570</v>
      </c>
      <c r="M25" s="2" t="s">
        <v>1117</v>
      </c>
      <c r="N25" s="3">
        <f>سکه!U22</f>
        <v>77000000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1148</v>
      </c>
      <c r="L26" s="43">
        <f>-'لیست خرید و فروش'!AC15</f>
        <v>-21754246.71682997</v>
      </c>
      <c r="M26" s="2" t="s">
        <v>1147</v>
      </c>
      <c r="N26" s="3">
        <f>-L26</f>
        <v>21754246.71682997</v>
      </c>
      <c r="U26" s="28"/>
      <c r="V26" s="25"/>
      <c r="W26" s="25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1169</v>
      </c>
      <c r="L27" s="123">
        <f>-'لیست خرید و فروش'!AD15</f>
        <v>-6794479.185475504</v>
      </c>
      <c r="M27" s="118" t="s">
        <v>1188</v>
      </c>
      <c r="N27" s="119">
        <v>2500000</v>
      </c>
      <c r="U27" s="25"/>
      <c r="V27" s="25"/>
      <c r="W27" s="2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1239</v>
      </c>
      <c r="L28" s="123">
        <v>-70000</v>
      </c>
      <c r="M28" s="118"/>
      <c r="N28" s="119"/>
      <c r="V28" s="25"/>
      <c r="W28" s="25"/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2" t="s">
        <v>598</v>
      </c>
      <c r="L29" s="3">
        <f>SUM(L16:L28)</f>
        <v>90815702.097694531</v>
      </c>
      <c r="M29" s="2"/>
      <c r="N29" s="3">
        <f>SUM(N16:N26)</f>
        <v>154206347.71682996</v>
      </c>
      <c r="V29" s="25"/>
      <c r="W29" s="25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2" t="s">
        <v>599</v>
      </c>
      <c r="L30" s="3">
        <f>L16+L17+L20</f>
        <v>1008858</v>
      </c>
      <c r="M30" s="2"/>
      <c r="N30" s="3">
        <f>N16+N17+N22</f>
        <v>5007101</v>
      </c>
      <c r="V30" s="25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716</v>
      </c>
      <c r="L31" s="1">
        <f>L29+N7</f>
        <v>147815702.09769452</v>
      </c>
      <c r="M31" s="3"/>
      <c r="N31" s="2"/>
      <c r="V31" s="25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M33" s="25"/>
    </row>
    <row r="34" spans="1:22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M34" s="25"/>
    </row>
    <row r="35" spans="1:2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M35" s="26"/>
    </row>
    <row r="36" spans="1:22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3"/>
      <c r="L36" s="11" t="s">
        <v>304</v>
      </c>
      <c r="M36" s="25"/>
      <c r="N36" s="25"/>
      <c r="O36" s="118" t="s">
        <v>1177</v>
      </c>
      <c r="P36" s="118"/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1" t="s">
        <v>305</v>
      </c>
      <c r="L37" s="1">
        <v>70000</v>
      </c>
      <c r="M37" s="25"/>
      <c r="N37" t="s">
        <v>25</v>
      </c>
      <c r="O37" s="118" t="s">
        <v>267</v>
      </c>
      <c r="P37" s="118" t="s">
        <v>1192</v>
      </c>
    </row>
    <row r="38" spans="1:22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1" t="s">
        <v>321</v>
      </c>
      <c r="L38" s="1">
        <v>100000</v>
      </c>
      <c r="M38" t="s">
        <v>25</v>
      </c>
      <c r="O38" s="123">
        <v>1100000</v>
      </c>
      <c r="P38" s="118" t="s">
        <v>1193</v>
      </c>
    </row>
    <row r="39" spans="1:22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1" t="s">
        <v>306</v>
      </c>
      <c r="L39" s="1">
        <v>80000</v>
      </c>
      <c r="O39" s="123">
        <v>5000000</v>
      </c>
      <c r="P39" s="118" t="s">
        <v>1194</v>
      </c>
    </row>
    <row r="40" spans="1:22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K40" s="31" t="s">
        <v>307</v>
      </c>
      <c r="L40" s="1">
        <v>150000</v>
      </c>
      <c r="O40" s="123">
        <v>770000</v>
      </c>
      <c r="P40" s="118" t="s">
        <v>1195</v>
      </c>
    </row>
    <row r="41" spans="1:22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K41" s="31" t="s">
        <v>308</v>
      </c>
      <c r="L41" s="1">
        <v>300000</v>
      </c>
      <c r="O41" s="123">
        <v>28800000</v>
      </c>
      <c r="P41" s="56" t="s">
        <v>1196</v>
      </c>
    </row>
    <row r="42" spans="1:22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1" t="s">
        <v>309</v>
      </c>
      <c r="L42" s="1">
        <v>100000</v>
      </c>
      <c r="O42" s="123">
        <v>15000000</v>
      </c>
      <c r="P42" s="56" t="s">
        <v>1197</v>
      </c>
    </row>
    <row r="43" spans="1:22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31" t="s">
        <v>310</v>
      </c>
      <c r="L43" s="1">
        <v>200000</v>
      </c>
      <c r="O43" s="123">
        <v>5500000</v>
      </c>
      <c r="P43" s="56" t="s">
        <v>890</v>
      </c>
    </row>
    <row r="44" spans="1:22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8" t="s">
        <v>311</v>
      </c>
      <c r="L44" s="18">
        <v>300000</v>
      </c>
      <c r="O44" s="123">
        <v>3000000</v>
      </c>
      <c r="P44" s="56" t="s">
        <v>1199</v>
      </c>
    </row>
    <row r="45" spans="1:22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32" t="s">
        <v>312</v>
      </c>
      <c r="L45" s="1">
        <v>200000</v>
      </c>
      <c r="O45" s="123">
        <v>3000000</v>
      </c>
      <c r="P45" s="56" t="s">
        <v>1200</v>
      </c>
    </row>
    <row r="46" spans="1:22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2" t="s">
        <v>313</v>
      </c>
      <c r="L46" s="1">
        <v>20000</v>
      </c>
      <c r="O46" s="123">
        <v>3000000</v>
      </c>
      <c r="P46" s="56" t="s">
        <v>1201</v>
      </c>
    </row>
    <row r="47" spans="1:22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2" t="s">
        <v>315</v>
      </c>
      <c r="L47" s="1">
        <v>50000</v>
      </c>
      <c r="O47" s="123">
        <v>5000000</v>
      </c>
      <c r="P47" s="56" t="s">
        <v>1202</v>
      </c>
    </row>
    <row r="48" spans="1:22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2" t="s">
        <v>316</v>
      </c>
      <c r="L48" s="1">
        <v>90000</v>
      </c>
      <c r="O48" s="123">
        <v>5000000</v>
      </c>
      <c r="P48" s="56" t="s">
        <v>1205</v>
      </c>
    </row>
    <row r="49" spans="1:16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2" t="s">
        <v>317</v>
      </c>
      <c r="L49" s="1">
        <v>50000</v>
      </c>
      <c r="O49" s="123">
        <v>3000000</v>
      </c>
      <c r="P49" s="56" t="s">
        <v>1204</v>
      </c>
    </row>
    <row r="50" spans="1:16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2" t="s">
        <v>327</v>
      </c>
      <c r="L50" s="1">
        <v>150000</v>
      </c>
      <c r="O50" s="123">
        <v>2500000</v>
      </c>
      <c r="P50" s="56" t="s">
        <v>1188</v>
      </c>
    </row>
    <row r="51" spans="1:16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318</v>
      </c>
      <c r="L51" s="1">
        <v>15000</v>
      </c>
      <c r="O51" s="123">
        <v>3000000</v>
      </c>
      <c r="P51" s="56" t="s">
        <v>1207</v>
      </c>
    </row>
    <row r="52" spans="1:16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319</v>
      </c>
      <c r="L52" s="1">
        <v>20000</v>
      </c>
      <c r="O52" s="123">
        <v>15000000</v>
      </c>
      <c r="P52" s="56" t="s">
        <v>1198</v>
      </c>
    </row>
    <row r="53" spans="1:16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320</v>
      </c>
      <c r="L53" s="1">
        <v>40000</v>
      </c>
      <c r="O53" s="123">
        <v>20000000</v>
      </c>
      <c r="P53" s="56" t="s">
        <v>1203</v>
      </c>
    </row>
    <row r="54" spans="1:16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322</v>
      </c>
      <c r="L54" s="1">
        <v>150000</v>
      </c>
      <c r="O54" s="123">
        <v>10000000</v>
      </c>
      <c r="P54" s="56" t="s">
        <v>1206</v>
      </c>
    </row>
    <row r="55" spans="1:16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324</v>
      </c>
      <c r="L55" s="1">
        <v>75000</v>
      </c>
      <c r="O55" s="118"/>
      <c r="P55" s="118"/>
    </row>
    <row r="56" spans="1:16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314</v>
      </c>
      <c r="L56" s="1">
        <v>140000</v>
      </c>
      <c r="O56" s="119">
        <f>SUM(O38:O54)</f>
        <v>128670000</v>
      </c>
      <c r="P56" s="56" t="s">
        <v>1208</v>
      </c>
    </row>
    <row r="57" spans="1:16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2" t="s">
        <v>478</v>
      </c>
      <c r="L57" s="3">
        <v>833333.33333399997</v>
      </c>
      <c r="O57" s="123">
        <f>120*800000</f>
        <v>96000000</v>
      </c>
      <c r="P57" s="56" t="s">
        <v>1209</v>
      </c>
    </row>
    <row r="58" spans="1:16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2"/>
      <c r="L58" s="3"/>
    </row>
    <row r="59" spans="1:16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2"/>
      <c r="L59" s="3"/>
    </row>
    <row r="60" spans="1:16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2" t="s">
        <v>6</v>
      </c>
      <c r="L60" s="3">
        <f>SUM(L37:L58)</f>
        <v>3133333.3333339998</v>
      </c>
    </row>
    <row r="61" spans="1:16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2" t="s">
        <v>328</v>
      </c>
      <c r="L61" s="3">
        <f>L60/30</f>
        <v>104444.44444446666</v>
      </c>
    </row>
    <row r="62" spans="1:16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</row>
    <row r="63" spans="1:16" x14ac:dyDescent="0.25">
      <c r="E63" s="26"/>
    </row>
    <row r="64" spans="1:16" x14ac:dyDescent="0.25">
      <c r="E64" s="26"/>
    </row>
    <row r="67" spans="1:12" x14ac:dyDescent="0.25">
      <c r="A67" t="s">
        <v>25</v>
      </c>
      <c r="K67" s="48" t="s">
        <v>792</v>
      </c>
      <c r="L67" s="48" t="s">
        <v>476</v>
      </c>
    </row>
    <row r="68" spans="1:12" x14ac:dyDescent="0.25">
      <c r="K68" s="47">
        <v>1440000</v>
      </c>
      <c r="L68" s="48" t="s">
        <v>1055</v>
      </c>
    </row>
    <row r="69" spans="1:12" x14ac:dyDescent="0.25">
      <c r="K69" s="47">
        <v>500000</v>
      </c>
      <c r="L69" s="48" t="s">
        <v>479</v>
      </c>
    </row>
    <row r="70" spans="1:12" x14ac:dyDescent="0.25">
      <c r="K70" s="47">
        <v>180000</v>
      </c>
      <c r="L70" s="48" t="s">
        <v>558</v>
      </c>
    </row>
    <row r="71" spans="1:12" x14ac:dyDescent="0.25">
      <c r="K71" s="47">
        <v>300000</v>
      </c>
      <c r="L71" s="48" t="s">
        <v>788</v>
      </c>
    </row>
    <row r="72" spans="1:12" x14ac:dyDescent="0.25">
      <c r="K72" s="47">
        <v>250000</v>
      </c>
      <c r="L72" s="48" t="s">
        <v>789</v>
      </c>
    </row>
    <row r="73" spans="1:12" x14ac:dyDescent="0.25">
      <c r="K73" s="47">
        <v>500000</v>
      </c>
      <c r="L73" s="48" t="s">
        <v>790</v>
      </c>
    </row>
    <row r="74" spans="1:12" x14ac:dyDescent="0.25">
      <c r="K74" s="47">
        <v>75000</v>
      </c>
      <c r="L74" s="48" t="s">
        <v>791</v>
      </c>
    </row>
    <row r="75" spans="1:12" x14ac:dyDescent="0.25">
      <c r="K75" s="47">
        <v>450000</v>
      </c>
      <c r="L75" s="48" t="s">
        <v>793</v>
      </c>
    </row>
    <row r="76" spans="1:12" x14ac:dyDescent="0.25">
      <c r="K76" s="47">
        <v>500000</v>
      </c>
      <c r="L76" s="48" t="s">
        <v>564</v>
      </c>
    </row>
    <row r="77" spans="1:12" x14ac:dyDescent="0.25">
      <c r="K77" s="47">
        <v>50000</v>
      </c>
      <c r="L77" s="48" t="s">
        <v>796</v>
      </c>
    </row>
    <row r="78" spans="1:12" x14ac:dyDescent="0.25">
      <c r="K78" s="47">
        <v>140000</v>
      </c>
      <c r="L78" s="48" t="s">
        <v>314</v>
      </c>
    </row>
    <row r="79" spans="1:12" x14ac:dyDescent="0.25">
      <c r="K79" s="47"/>
      <c r="L79" s="48" t="s">
        <v>25</v>
      </c>
    </row>
    <row r="80" spans="1:12" x14ac:dyDescent="0.25">
      <c r="K80" s="47">
        <f>SUM(K68:K79)</f>
        <v>4385000</v>
      </c>
      <c r="L80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807</v>
      </c>
      <c r="B9" s="3">
        <v>-80000</v>
      </c>
      <c r="C9" t="s">
        <v>814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894</v>
      </c>
      <c r="B10" s="3">
        <v>850000</v>
      </c>
      <c r="C10" t="s">
        <v>900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916</v>
      </c>
      <c r="B11" s="3">
        <v>-700000</v>
      </c>
      <c r="C11" t="s">
        <v>926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924</v>
      </c>
      <c r="B12" s="3">
        <v>1000000</v>
      </c>
      <c r="C12" t="s">
        <v>927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1050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1056</v>
      </c>
      <c r="B14" s="3">
        <v>-191000</v>
      </c>
      <c r="C14" t="s">
        <v>926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1110</v>
      </c>
      <c r="B15" s="3">
        <v>-200000</v>
      </c>
      <c r="C15" t="s">
        <v>814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H45" sqref="H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66000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31000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1000</v>
      </c>
      <c r="H31" s="11" t="s">
        <v>1056</v>
      </c>
      <c r="I31" s="11">
        <v>230000</v>
      </c>
      <c r="J31" s="11" t="s">
        <v>477</v>
      </c>
    </row>
    <row r="32" spans="2:21" x14ac:dyDescent="0.25">
      <c r="G32" s="11">
        <f t="shared" si="6"/>
        <v>46000</v>
      </c>
      <c r="H32" s="59" t="s">
        <v>798</v>
      </c>
      <c r="I32" s="11">
        <v>185000</v>
      </c>
      <c r="J32" s="11" t="s">
        <v>558</v>
      </c>
    </row>
    <row r="33" spans="6:23" x14ac:dyDescent="0.25">
      <c r="G33" s="11">
        <f t="shared" si="6"/>
        <v>0</v>
      </c>
      <c r="H33" s="11" t="s">
        <v>1137</v>
      </c>
      <c r="I33" s="11">
        <v>231000</v>
      </c>
      <c r="J33" s="11" t="s">
        <v>566</v>
      </c>
    </row>
    <row r="34" spans="6:23" x14ac:dyDescent="0.25">
      <c r="G34" s="11">
        <f t="shared" si="6"/>
        <v>1000</v>
      </c>
      <c r="H34" s="11" t="s">
        <v>1056</v>
      </c>
      <c r="I34" s="11">
        <v>230000</v>
      </c>
      <c r="J34" s="11" t="s">
        <v>567</v>
      </c>
    </row>
    <row r="35" spans="6:23" x14ac:dyDescent="0.25">
      <c r="G35" s="11">
        <f t="shared" si="6"/>
        <v>0</v>
      </c>
      <c r="H35" s="11" t="s">
        <v>1137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12000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13000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6500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0</v>
      </c>
      <c r="H41" s="11" t="s">
        <v>1137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0</v>
      </c>
      <c r="H45" s="11" t="s">
        <v>1137</v>
      </c>
      <c r="I45" s="11">
        <v>231000</v>
      </c>
      <c r="J45" s="11" t="s">
        <v>1136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  <vt:lpstr>سکه</vt:lpstr>
      <vt:lpstr>bluecard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2018-04-14T23:33:17Z</dcterms:modified>
</cp:coreProperties>
</file>