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4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</sheets>
  <calcPr calcId="145621"/>
</workbook>
</file>

<file path=xl/calcChain.xml><?xml version="1.0" encoding="utf-8"?>
<calcChain xmlns="http://schemas.openxmlformats.org/spreadsheetml/2006/main">
  <c r="N20" i="36" l="1"/>
  <c r="O19" i="36"/>
  <c r="N19" i="36"/>
  <c r="L10" i="36"/>
  <c r="L11" i="36"/>
  <c r="L12" i="36"/>
  <c r="L13" i="36"/>
  <c r="L14" i="36"/>
  <c r="L9" i="36"/>
  <c r="B17" i="36"/>
  <c r="C17" i="36"/>
  <c r="D17" i="36"/>
  <c r="E17" i="36"/>
  <c r="F17" i="36"/>
  <c r="A17" i="36"/>
  <c r="A12" i="36"/>
  <c r="A15" i="36" s="1"/>
  <c r="A19" i="36" s="1"/>
  <c r="A21" i="36"/>
  <c r="A22" i="36" s="1"/>
  <c r="A11" i="36"/>
  <c r="C21" i="36"/>
  <c r="D21" i="36"/>
  <c r="B15" i="36"/>
  <c r="B19" i="36" s="1"/>
  <c r="F15" i="36"/>
  <c r="F19" i="36" s="1"/>
  <c r="B12" i="36"/>
  <c r="C12" i="36"/>
  <c r="C15" i="36" s="1"/>
  <c r="C19" i="36" s="1"/>
  <c r="D12" i="36"/>
  <c r="D15" i="36" s="1"/>
  <c r="D19" i="36" s="1"/>
  <c r="E12" i="36"/>
  <c r="F12" i="36"/>
  <c r="B11" i="36"/>
  <c r="B21" i="36" s="1"/>
  <c r="C11" i="36"/>
  <c r="C22" i="36" s="1"/>
  <c r="D11" i="36"/>
  <c r="D22" i="36" s="1"/>
  <c r="E11" i="36"/>
  <c r="E21" i="36" s="1"/>
  <c r="F11" i="36"/>
  <c r="F21" i="36" s="1"/>
  <c r="B9" i="36"/>
  <c r="C9" i="36"/>
  <c r="D9" i="36"/>
  <c r="E9" i="36"/>
  <c r="E15" i="36" s="1"/>
  <c r="E19" i="36" s="1"/>
  <c r="F9" i="36"/>
  <c r="A9" i="36"/>
  <c r="B8" i="36"/>
  <c r="C8" i="36"/>
  <c r="D8" i="36"/>
  <c r="E8" i="36"/>
  <c r="F8" i="36"/>
  <c r="A8" i="36"/>
  <c r="F22" i="36" l="1"/>
  <c r="B22" i="36"/>
  <c r="E14" i="36"/>
  <c r="E18" i="36" s="1"/>
  <c r="E22" i="36"/>
  <c r="F14" i="36"/>
  <c r="F18" i="36" s="1"/>
  <c r="D14" i="36"/>
  <c r="D18" i="36" s="1"/>
  <c r="C14" i="36"/>
  <c r="C18" i="36" s="1"/>
  <c r="B14" i="36"/>
  <c r="B18" i="36" s="1"/>
  <c r="A14" i="36"/>
  <c r="A18" i="36" s="1"/>
  <c r="S8" i="32"/>
  <c r="E16" i="18" l="1"/>
  <c r="N28" i="18"/>
  <c r="G30" i="34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X32" i="32" l="1"/>
  <c r="AC15" i="33"/>
  <c r="N25" i="33"/>
  <c r="K43" i="32" l="1"/>
  <c r="S43" i="32" s="1"/>
  <c r="M43" i="32"/>
  <c r="Q43" i="32" s="1"/>
  <c r="P43" i="32" l="1"/>
  <c r="I42" i="32" l="1"/>
  <c r="K41" i="32"/>
  <c r="M41" i="32"/>
  <c r="M29" i="32"/>
  <c r="Q29" i="32" s="1"/>
  <c r="K29" i="32"/>
  <c r="P29" i="32" l="1"/>
  <c r="S29" i="32" l="1"/>
  <c r="S60" i="32"/>
  <c r="S61" i="32"/>
  <c r="S62" i="32"/>
  <c r="S63" i="32"/>
  <c r="S64" i="32"/>
  <c r="S65" i="32"/>
  <c r="S66" i="32"/>
  <c r="S67" i="32"/>
  <c r="S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78" i="18"/>
  <c r="N10" i="18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42" i="32"/>
  <c r="S42" i="32" s="1"/>
  <c r="L42" i="32" s="1"/>
  <c r="M23" i="32"/>
  <c r="Q23" i="32" s="1"/>
  <c r="K23" i="32"/>
  <c r="S23" i="32" s="1"/>
  <c r="K22" i="32"/>
  <c r="S22" i="32" s="1"/>
  <c r="I22" i="32"/>
  <c r="M7" i="32"/>
  <c r="B202" i="15"/>
  <c r="B127" i="13"/>
  <c r="I30" i="34" l="1"/>
  <c r="L36" i="32"/>
  <c r="L26" i="32"/>
  <c r="L20" i="32"/>
  <c r="L18" i="32"/>
  <c r="L16" i="32"/>
  <c r="L24" i="32"/>
  <c r="L22" i="32"/>
  <c r="L38" i="32"/>
  <c r="P17" i="32"/>
  <c r="Q55" i="32"/>
  <c r="Q21" i="32"/>
  <c r="P19" i="32"/>
  <c r="P5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70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Z29" i="32" s="1"/>
  <c r="O15" i="32"/>
  <c r="O13" i="32"/>
  <c r="O9" i="32"/>
  <c r="O3" i="32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2" i="13" l="1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G8" i="32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Y5" i="33"/>
  <c r="AD5" i="32" l="1"/>
  <c r="AB7" i="32"/>
  <c r="AB6" i="32"/>
  <c r="AE4" i="32"/>
  <c r="AF5" i="32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S3" i="32" s="1"/>
  <c r="K8" i="32"/>
  <c r="K12" i="32"/>
  <c r="L12" i="32" s="1"/>
  <c r="L8" i="32" l="1"/>
  <c r="S2" i="32"/>
  <c r="L2" i="32" s="1"/>
  <c r="AG6" i="32"/>
  <c r="AC6" i="32"/>
  <c r="AB12" i="32"/>
  <c r="Z30" i="32" s="1"/>
  <c r="AG7" i="32"/>
  <c r="AC7" i="32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AA7" i="33"/>
  <c r="AA8" i="33" s="1"/>
  <c r="AA9" i="33" s="1"/>
  <c r="AA10" i="33" s="1"/>
  <c r="AA11" i="33" s="1"/>
  <c r="AA12" i="33" s="1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E186" i="15"/>
  <c r="D184" i="15" l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P70" i="32"/>
  <c r="Q70" i="32"/>
  <c r="Z15" i="32" s="1"/>
  <c r="AE12" i="32"/>
  <c r="AF7" i="32"/>
  <c r="AF12" i="32" s="1"/>
  <c r="AD12" i="32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AA15" i="32"/>
  <c r="F186" i="15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AA16" i="32" l="1"/>
  <c r="Z16" i="32"/>
  <c r="G53" i="16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N25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50" i="20"/>
  <c r="J151" i="20"/>
  <c r="J152" i="20"/>
  <c r="J153" i="20"/>
  <c r="J154" i="20"/>
  <c r="J155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H151" i="20"/>
  <c r="H152" i="20"/>
  <c r="H153" i="20"/>
  <c r="H154" i="20"/>
  <c r="H155" i="20"/>
  <c r="I140" i="20"/>
  <c r="D139" i="20"/>
  <c r="J149" i="20" l="1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N27" i="18" l="1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7" i="18" s="1"/>
  <c r="B27" i="14"/>
  <c r="E21" i="14"/>
  <c r="E20" i="14" s="1"/>
  <c r="F15" i="18" l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<sst xmlns="http://schemas.openxmlformats.org/spreadsheetml/2006/main" count="2703" uniqueCount="1131">
  <si>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</si>
  <si>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</si>
  <si>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</si>
  <si>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</si>
  <si>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</si>
  <si>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</si>
  <si>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</si>
  <si>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</si>
  <si>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</si>
  <si>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</si>
  <si>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</si>
  <si>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</si>
  <si>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</si>
  <si>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</si>
  <si>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</si>
  <si>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</si>
  <si>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</si>
  <si>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</si>
  <si>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</si>
  <si>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</si>
  <si>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</si>
  <si>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</si>
  <si>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</si>
  <si>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</si>
  <si>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</si>
  <si>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</si>
  <si>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</si>
  <si>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</si>
  <si>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</si>
  <si>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</si>
  <si>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</si>
  <si>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</si>
  <si>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</si>
  <si>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</si>
  <si>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</si>
  <si>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</si>
  <si>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</si>
  <si>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</si>
  <si>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</si>
  <si>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</si>
  <si>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</si>
  <si>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</si>
  <si>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</si>
  <si>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</si>
  <si>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</si>
  <si>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</si>
  <si>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</si>
  <si>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</si>
  <si>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</si>
  <si>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</si>
  <si>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</si>
  <si>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</si>
  <si>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</si>
  <si>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</si>
  <si>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</si>
  <si>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</si>
  <si>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</si>
  <si>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</si>
  <si>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</si>
  <si>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</si>
  <si>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</si>
  <si>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</si>
  <si>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</si>
  <si>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</si>
  <si>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</si>
  <si>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</si>
  <si>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</si>
  <si>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</si>
  <si>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</si>
  <si>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</si>
  <si>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</si>
  <si>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</si>
  <si>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</si>
  <si>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</si>
  <si>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</si>
  <si>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</si>
  <si>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</si>
  <si>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</si>
  <si>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</si>
  <si>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</si>
  <si>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</si>
  <si>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</si>
  <si>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</si>
  <si>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</si>
  <si>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</si>
  <si>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</si>
  <si>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</si>
  <si>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</si>
  <si>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</si>
  <si>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</si>
  <si>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</si>
  <si>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</si>
  <si>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</si>
  <si>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</si>
  <si>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</si>
  <si>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</si>
  <si>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</si>
  <si>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</si>
  <si>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</si>
  <si>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</si>
  <si>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</si>
  <si>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</si>
  <si>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</si>
  <si>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</si>
  <si>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</si>
  <si>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</si>
  <si>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</si>
  <si>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</si>
  <si>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</si>
  <si>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</si>
  <si>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</si>
  <si>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</si>
  <si>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</si>
  <si>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</si>
  <si>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</si>
  <si>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</si>
  <si>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</si>
  <si>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</si>
  <si>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</si>
  <si>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</si>
  <si>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</si>
  <si>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</si>
  <si>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</si>
  <si>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</si>
  <si>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</si>
  <si>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</si>
  <si>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</si>
  <si>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</si>
  <si>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</si>
  <si>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</si>
  <si>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</si>
  <si>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</si>
  <si>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</si>
  <si>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</si>
  <si>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</si>
  <si>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</si>
  <si>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</si>
  <si>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</si>
  <si>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</si>
  <si>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</si>
  <si>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</si>
  <si>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</si>
  <si>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</si>
  <si>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</si>
  <si>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</si>
  <si>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</si>
  <si>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</si>
  <si>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</si>
  <si>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</si>
  <si>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</si>
  <si>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</si>
  <si>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</si>
  <si>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</si>
  <si>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</si>
  <si>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</si>
  <si>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</si>
  <si>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</si>
  <si>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</si>
  <si>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</si>
  <si>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</si>
  <si>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</si>
  <si>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</si>
  <si>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</si>
  <si>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</si>
  <si>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</si>
  <si>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</si>
  <si>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</si>
  <si>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</si>
  <si>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</si>
  <si>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</si>
  <si>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</si>
  <si>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</si>
  <si>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</si>
  <si>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</si>
  <si>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</si>
  <si>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</si>
  <si>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</si>
  <si>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</si>
  <si>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</si>
  <si>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</si>
  <si>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</si>
  <si>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</si>
  <si>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</si>
  <si>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</si>
  <si>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</si>
  <si>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</si>
  <si>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</si>
  <si>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</si>
  <si>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</si>
  <si>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</si>
  <si>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</si>
  <si>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</si>
  <si>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</si>
  <si>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</si>
  <si>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</si>
  <si>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</si>
  <si>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</si>
  <si>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</si>
  <si>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</si>
  <si>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</si>
  <si>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</si>
  <si>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</si>
  <si>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</si>
  <si>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</si>
  <si>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</si>
  <si>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</si>
  <si>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</si>
  <si>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</si>
  <si>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</si>
  <si>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</si>
  <si>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</si>
  <si>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</si>
  <si>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</si>
  <si>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</si>
  <si>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</si>
  <si>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</si>
  <si>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</si>
  <si>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</si>
  <si>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</si>
  <si>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</si>
  <si>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</si>
  <si>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</si>
  <si>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</si>
  <si>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</si>
  <si>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</si>
  <si>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</si>
  <si>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</si>
  <si>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</si>
  <si>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</si>
  <si>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</si>
  <si>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</si>
  <si>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</si>
  <si>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</si>
  <si>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</si>
  <si>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</si>
  <si>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</si>
  <si>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</si>
  <si>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</si>
  <si>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</si>
  <si>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</si>
  <si>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</si>
  <si>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</si>
  <si>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</si>
  <si>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</si>
  <si>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</si>
  <si>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</si>
  <si>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</si>
  <si>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</si>
  <si>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</si>
  <si>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</si>
  <si>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</si>
  <si>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</si>
  <si>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</si>
  <si>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</si>
  <si>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</si>
  <si>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</si>
  <si>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</si>
  <si>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</si>
  <si>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</si>
  <si>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</si>
  <si>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</si>
  <si>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</si>
  <si>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</si>
  <si>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</si>
  <si>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</si>
  <si>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</si>
  <si>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</si>
  <si>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</si>
  <si>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</si>
  <si>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</si>
  <si>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</si>
  <si>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</si>
  <si>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</si>
  <si>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</si>
  <si>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</si>
  <si>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</si>
  <si>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</si>
  <si>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</si>
  <si>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</si>
  <si>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</si>
  <si>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</si>
  <si>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</si>
  <si>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</si>
  <si>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</si>
  <si>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</si>
  <si>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</si>
  <si>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</si>
  <si>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</si>
  <si>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</si>
  <si>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</si>
  <si>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</si>
  <si>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</si>
  <si>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</si>
  <si>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</si>
  <si>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</si>
  <si>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</si>
  <si>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</si>
  <si>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</si>
  <si>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</si>
  <si>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</si>
  <si>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</si>
  <si>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</si>
  <si>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</si>
  <si>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</si>
  <si>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</si>
  <si>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</si>
  <si>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</si>
  <si>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</si>
  <si>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</si>
  <si>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</si>
  <si>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</si>
  <si>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</si>
  <si>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</si>
  <si>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</si>
  <si>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</si>
  <si>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</si>
  <si>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</si>
  <si>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</si>
  <si>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</si>
  <si>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</si>
  <si>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</si>
  <si>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</si>
  <si>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</si>
  <si>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</si>
  <si>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</si>
  <si>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</si>
  <si>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</si>
  <si>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</si>
  <si>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</si>
  <si>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</si>
  <si>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</si>
  <si>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</si>
  <si>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</si>
  <si>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</si>
  <si>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</si>
  <si>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</si>
  <si>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</si>
  <si>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</si>
  <si>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</si>
  <si>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</si>
  <si>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</si>
  <si>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</si>
  <si>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</si>
  <si>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</si>
  <si>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</si>
  <si>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</si>
  <si>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</si>
  <si>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</si>
  <si>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</si>
  <si>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</si>
  <si>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</si>
  <si>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</si>
  <si>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</si>
  <si>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</si>
  <si>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</si>
  <si>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</si>
  <si>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</si>
  <si>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</si>
  <si>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</si>
  <si>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</si>
  <si>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</si>
  <si>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</si>
  <si>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</si>
  <si>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</si>
  <si>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</si>
  <si>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</si>
  <si>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</si>
  <si>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</si>
  <si>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</si>
  <si>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</si>
  <si>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</si>
  <si>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</si>
  <si>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</si>
  <si>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</si>
  <si>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</si>
  <si>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</si>
  <si>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</si>
  <si>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</si>
  <si>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</si>
  <si>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</si>
  <si>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</si>
  <si>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</si>
  <si>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</si>
  <si>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</si>
  <si>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</si>
  <si>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</si>
  <si>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</si>
  <si>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</si>
  <si>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</si>
  <si>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</si>
  <si>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</si>
  <si>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</si>
  <si>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</si>
  <si>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</si>
  <si>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</si>
  <si>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</si>
  <si>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</si>
  <si>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</si>
  <si>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</si>
  <si>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</si>
  <si>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</si>
  <si>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</si>
  <si>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</si>
  <si>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</si>
  <si>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</si>
  <si>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</si>
  <si>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</si>
  <si>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</si>
  <si>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</si>
  <si>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</si>
  <si>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</si>
  <si>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</si>
  <si>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</si>
  <si>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</si>
  <si>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</si>
  <si>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</si>
  <si>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</si>
  <si>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</si>
  <si>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</si>
  <si>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</si>
  <si>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</si>
  <si>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</si>
  <si>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</si>
  <si>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</si>
  <si>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</si>
  <si>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</si>
  <si>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</si>
  <si>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</si>
  <si>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</si>
  <si>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</si>
  <si>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</si>
  <si>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</si>
  <si>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</si>
  <si>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</si>
  <si>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</si>
  <si>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</si>
  <si>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</si>
  <si>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</si>
  <si>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</si>
  <si>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</si>
  <si>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</si>
  <si>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</si>
  <si>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</si>
  <si>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</si>
  <si>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</si>
  <si>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</si>
  <si>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</si>
  <si>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</si>
  <si>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</si>
  <si>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</si>
  <si>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</si>
  <si>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</si>
  <si>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</si>
  <si>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</si>
  <si>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</si>
  <si>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</si>
  <si>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</si>
  <si>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</si>
  <si>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</si>
  <si>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</si>
  <si>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</si>
  <si>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</si>
  <si>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</si>
  <si>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</si>
  <si>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</si>
  <si>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</si>
  <si>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</si>
  <si>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</si>
  <si>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</si>
  <si>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</si>
  <si>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</si>
  <si>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</si>
  <si>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</si>
  <si>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</si>
  <si>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</si>
  <si>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</si>
  <si>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</si>
  <si>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</si>
  <si>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</si>
  <si>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</si>
  <si>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</si>
  <si>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</si>
  <si>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</si>
  <si>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</si>
  <si>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</si>
  <si>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</si>
  <si>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</si>
  <si>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</si>
  <si>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</si>
  <si>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</si>
  <si>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</si>
  <si>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</si>
  <si>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</si>
  <si>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</si>
  <si>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</si>
  <si>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</si>
  <si>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</si>
  <si>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</si>
  <si>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</si>
  <si>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</si>
  <si>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</si>
  <si>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</si>
  <si>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</si>
  <si>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</si>
  <si>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</si>
  <si>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</si>
  <si>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</si>
  <si>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</si>
  <si>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</si>
  <si>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</si>
  <si>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</si>
  <si>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</si>
  <si>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</si>
  <si>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</si>
  <si>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</si>
  <si>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</si>
  <si>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</si>
  <si>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</si>
  <si>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</si>
  <si>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</si>
  <si>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</si>
  <si>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</si>
  <si>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</si>
  <si>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</si>
  <si>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</si>
  <si>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</si>
  <si>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</si>
  <si>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</si>
  <si>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</si>
  <si>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</si>
  <si>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</si>
  <si>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</si>
  <si>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</si>
  <si>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</si>
  <si>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</si>
  <si>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</si>
  <si>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</si>
  <si>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</si>
  <si>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</si>
  <si>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</si>
  <si>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</si>
  <si>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</si>
  <si>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</si>
  <si>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</si>
  <si>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</si>
  <si>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</si>
  <si>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</si>
  <si>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</si>
  <si>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</si>
  <si>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</si>
  <si>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</si>
  <si>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</si>
  <si>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</si>
  <si>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</si>
  <si>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</si>
  <si>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</si>
  <si>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</si>
  <si>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</si>
  <si>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</si>
  <si>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</si>
  <si>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</si>
  <si>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</si>
  <si>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</si>
  <si>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</si>
  <si>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</si>
  <si>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</si>
  <si>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</si>
  <si>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</si>
  <si>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</si>
  <si>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</si>
  <si>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</si>
  <si>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</si>
  <si>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</si>
  <si>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</si>
  <si>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</si>
  <si>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</si>
  <si>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</si>
  <si>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</si>
  <si>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</si>
  <si>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</si>
  <si>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</si>
  <si>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</si>
  <si>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</si>
  <si>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</si>
  <si>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</si>
  <si>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</si>
  <si>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</si>
  <si>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</si>
  <si>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</si>
  <si>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</si>
  <si>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</si>
  <si>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</si>
  <si>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</si>
  <si>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</si>
  <si>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</si>
  <si>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</si>
  <si>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</si>
  <si>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</si>
  <si>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</si>
  <si>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</si>
  <si>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</si>
  <si>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</si>
  <si>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</si>
  <si>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</si>
  <si>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</si>
  <si>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</si>
  <si>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</si>
  <si>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</si>
  <si>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</si>
  <si>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</si>
  <si>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</si>
  <si>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</si>
  <si>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</si>
  <si>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</si>
  <si>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</si>
  <si>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</si>
  <si>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</si>
  <si>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</si>
  <si>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</si>
  <si>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</si>
  <si>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</si>
  <si>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</si>
  <si>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</si>
  <si>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</si>
  <si>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</si>
  <si>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</si>
  <si>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</si>
  <si>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</si>
  <si>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</si>
  <si>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</si>
  <si>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</si>
  <si>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</si>
  <si>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</si>
  <si>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</si>
  <si>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</si>
  <si>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</si>
  <si>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</si>
  <si>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</si>
  <si>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</si>
  <si>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</si>
  <si>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</si>
  <si>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</si>
  <si>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</si>
  <si>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</si>
  <si>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</si>
  <si>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</si>
  <si>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</si>
  <si>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</si>
  <si>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</si>
  <si>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</si>
  <si>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</si>
  <si>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</si>
  <si>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</si>
  <si>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</si>
  <si>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</si>
  <si>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</si>
  <si>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</si>
  <si>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</si>
  <si>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</si>
  <si>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</si>
  <si>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</si>
  <si>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</si>
  <si>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</si>
  <si>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</si>
  <si>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</si>
  <si>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</si>
  <si>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</si>
  <si>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</si>
  <si>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</si>
  <si>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</si>
  <si>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</si>
  <si>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</si>
  <si>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</si>
  <si>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</si>
  <si>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</si>
  <si>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</si>
  <si>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</si>
  <si>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</si>
  <si>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</si>
  <si>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</si>
  <si>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</si>
  <si>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</si>
  <si>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</si>
  <si>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</si>
  <si>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</si>
  <si>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</si>
  <si>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</si>
  <si>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</si>
  <si>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</si>
  <si>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</si>
  <si>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</si>
  <si>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</si>
  <si>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</si>
  <si>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</si>
  <si>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</si>
  <si>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</si>
  <si>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</si>
  <si>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</si>
  <si>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</si>
  <si>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</si>
  <si>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</si>
  <si>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</si>
  <si>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</si>
  <si>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</si>
  <si>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</si>
  <si>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</si>
  <si>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</si>
  <si>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</si>
  <si>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</si>
  <si>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</si>
  <si>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</si>
  <si>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</si>
  <si>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</si>
  <si>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</si>
  <si>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</si>
  <si>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</si>
  <si>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</si>
  <si>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</si>
  <si>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</si>
  <si>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</si>
  <si>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</si>
  <si>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</si>
  <si>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</si>
  <si>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</si>
  <si>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</si>
  <si>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</si>
  <si>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</si>
  <si>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</si>
  <si>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</si>
  <si>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</si>
  <si>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</si>
  <si>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</si>
  <si>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</si>
  <si>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</si>
  <si>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</si>
  <si>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</si>
  <si>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</si>
  <si>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</si>
  <si>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</si>
  <si>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</si>
  <si>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</si>
  <si>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</si>
  <si>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</si>
  <si>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</si>
  <si>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</si>
  <si>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</si>
  <si>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</si>
  <si>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</si>
  <si>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</si>
  <si>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</si>
  <si>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</si>
  <si>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</si>
  <si>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</si>
  <si>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</si>
  <si>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</si>
  <si>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</si>
  <si>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</si>
  <si>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</si>
  <si>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</si>
  <si>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</si>
  <si>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</si>
  <si>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</si>
  <si>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</si>
  <si>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</si>
  <si>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</si>
  <si>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</si>
  <si>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</si>
  <si>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</si>
  <si>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</si>
  <si>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</si>
  <si>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</si>
  <si>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</si>
  <si>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</si>
  <si>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</si>
  <si>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</si>
  <si>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</si>
  <si>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</si>
  <si>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</si>
  <si>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</si>
  <si>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</si>
  <si>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</si>
  <si>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</si>
  <si>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</si>
  <si>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</si>
  <si>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</si>
  <si>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</si>
  <si>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</si>
  <si>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</si>
  <si>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</si>
  <si>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</si>
  <si>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</si>
  <si>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</si>
  <si>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</si>
  <si>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</si>
  <si>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</si>
  <si>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</si>
  <si>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</si>
  <si>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</si>
  <si>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</si>
  <si>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</si>
  <si>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</si>
  <si>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</si>
  <si>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</si>
  <si>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</si>
  <si>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</si>
  <si>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</si>
  <si>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</si>
  <si>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</si>
  <si>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</si>
  <si>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</si>
  <si>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</si>
  <si>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</si>
  <si>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</si>
  <si>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</si>
  <si>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</si>
  <si>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</si>
  <si>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</si>
  <si>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</si>
  <si>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</si>
  <si>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</si>
  <si>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</si>
  <si>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</si>
  <si>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</si>
  <si>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</si>
  <si>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</si>
  <si>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</si>
  <si>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</si>
  <si>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</si>
  <si>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</si>
  <si>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</si>
  <si>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</si>
  <si>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</si>
  <si>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</si>
  <si>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</si>
  <si>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</si>
  <si>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</si>
  <si>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</si>
  <si>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</si>
  <si>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</si>
  <si>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</si>
  <si>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</si>
  <si>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</si>
  <si>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</si>
  <si>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</si>
  <si>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</si>
  <si>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</si>
  <si>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</si>
  <si>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</si>
  <si>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</si>
  <si>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</si>
  <si>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</si>
  <si>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</si>
  <si>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</si>
  <si>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</si>
  <si>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</si>
  <si>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</si>
  <si>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</si>
  <si>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</si>
  <si>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</si>
  <si>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</si>
  <si>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</si>
  <si>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</si>
  <si>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</si>
  <si>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</si>
  <si>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</si>
  <si>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</si>
  <si>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</si>
  <si>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</si>
  <si>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</si>
  <si>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</si>
  <si>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</si>
  <si>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</si>
  <si>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</si>
  <si>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</si>
  <si>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</si>
  <si>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</si>
  <si>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</si>
  <si>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</si>
  <si>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</si>
  <si>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</si>
  <si>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</si>
  <si>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</si>
  <si>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</si>
  <si>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</si>
  <si>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</si>
  <si>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</si>
  <si>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</si>
  <si>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</si>
  <si>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</si>
  <si>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</si>
  <si>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</si>
  <si>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</si>
  <si>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</si>
  <si>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</si>
  <si>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</si>
  <si>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</si>
  <si>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</si>
  <si>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</si>
  <si>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</si>
  <si>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</si>
  <si>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</si>
  <si>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</si>
  <si>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</si>
  <si>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</si>
  <si>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</si>
  <si>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</si>
  <si>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</si>
  <si>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</si>
  <si>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</si>
  <si>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</si>
  <si>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</si>
  <si>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</si>
  <si>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</si>
  <si>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</si>
  <si>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</si>
  <si>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</si>
  <si>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</si>
  <si>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</si>
  <si>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</si>
  <si>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</si>
  <si>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</si>
  <si>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</si>
  <si>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</si>
  <si>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</si>
  <si>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</si>
  <si>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</si>
  <si>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</si>
  <si>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</si>
  <si>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</si>
  <si>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</si>
  <si>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</si>
  <si>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</si>
  <si>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</si>
  <si>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</si>
  <si>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</si>
  <si>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</si>
  <si>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</si>
  <si>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</si>
  <si>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</si>
  <si>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</si>
  <si>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</si>
  <si>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</si>
  <si>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</si>
  <si>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</si>
  <si>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</si>
  <si>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</si>
  <si>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</si>
  <si>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</si>
  <si>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</si>
  <si>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</si>
  <si>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</si>
  <si>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</si>
  <si>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</si>
  <si>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</si>
  <si>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</si>
  <si>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</si>
  <si>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</si>
  <si>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</si>
  <si>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</si>
  <si>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</si>
  <si>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</si>
  <si>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</si>
  <si>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</si>
  <si>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</si>
  <si>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</si>
  <si>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</si>
  <si>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</si>
  <si>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</si>
  <si>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</si>
  <si>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</si>
  <si>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</si>
  <si>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</si>
  <si>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</si>
  <si>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</si>
  <si>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</si>
  <si>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</si>
  <si>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</si>
  <si>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</si>
  <si>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</si>
  <si>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</si>
  <si>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</si>
  <si>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</si>
  <si>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</si>
  <si>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</si>
  <si>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</si>
  <si>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</si>
  <si>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</si>
  <si>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</si>
  <si>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</si>
  <si>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</si>
  <si>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</si>
  <si>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</si>
  <si>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</si>
  <si>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</si>
  <si>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</si>
  <si>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</si>
  <si>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</si>
  <si>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</si>
  <si>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</si>
  <si>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</si>
  <si>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</si>
  <si>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</si>
  <si>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</si>
  <si>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</si>
  <si>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</si>
  <si>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</si>
  <si>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</si>
  <si>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</si>
  <si>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</si>
  <si>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</si>
  <si>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</si>
  <si>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</si>
  <si>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</si>
  <si>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</si>
  <si>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</si>
  <si>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</si>
  <si>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</si>
  <si>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</si>
  <si>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</si>
  <si>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</si>
  <si>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</si>
  <si>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</si>
  <si>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</si>
  <si>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</si>
  <si>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</si>
  <si>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</si>
  <si>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</si>
  <si>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</si>
  <si>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</si>
  <si>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</si>
  <si>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</si>
  <si>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</si>
  <si>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</si>
  <si>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</si>
  <si>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</si>
  <si>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</si>
  <si>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</si>
  <si>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</si>
  <si>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</si>
  <si>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</si>
  <si>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</si>
  <si>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</si>
  <si>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</si>
  <si>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</si>
  <si>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</si>
  <si>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</si>
  <si>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</si>
  <si>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</si>
  <si>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</si>
  <si>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</si>
  <si>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</si>
  <si>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</si>
  <si>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</si>
  <si>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</si>
  <si>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</si>
  <si>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</si>
  <si>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</si>
  <si>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</si>
  <si>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</si>
  <si>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</si>
  <si>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</si>
  <si>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</si>
  <si>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</si>
  <si>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</si>
  <si>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</si>
  <si>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</si>
  <si>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</si>
  <si>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</si>
  <si>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</si>
  <si>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</si>
  <si>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</si>
  <si>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</si>
  <si>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</si>
  <si>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</si>
  <si>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</si>
  <si>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</si>
  <si>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</si>
  <si>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</si>
  <si>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</si>
  <si>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</si>
  <si>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</si>
  <si>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</si>
  <si>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</si>
  <si>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</si>
  <si>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</si>
  <si>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</si>
  <si>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</si>
  <si>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</si>
  <si>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</si>
  <si>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</si>
  <si>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</si>
  <si>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</si>
  <si>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</si>
  <si>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</si>
  <si>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</si>
  <si>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</si>
  <si>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</si>
  <si>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</si>
  <si>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</si>
  <si>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</si>
  <si>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</si>
  <si>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</si>
  <si>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</si>
  <si>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</si>
  <si>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</si>
  <si>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</si>
  <si>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</si>
  <si>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</si>
  <si>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7/1/1397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</si>
  <si>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</si>
  <si>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</si>
  <si>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</si>
  <si>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</si>
  <si>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</si>
  <si>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</si>
  <si>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</si>
  <si>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</si>
  <si>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</si>
  <si>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</si>
  <si>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</si>
  <si>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</si>
  <si>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</si>
  <si>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</si>
  <si>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</si>
  <si>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</si>
  <si>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</si>
  <si>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</si>
  <si>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</si>
  <si>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</si>
  <si>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علی و مریم</t>
  </si>
  <si>
    <t>چک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</si>
</sst>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1071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1111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1112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932</v>
      </c>
      <c r="B4" s="18">
        <v>0</v>
      </c>
      <c r="C4" s="18">
        <v>0</v>
      </c>
      <c r="D4" s="3">
        <f t="shared" si="0"/>
        <v>0</v>
      </c>
      <c r="E4" s="11" t="s">
        <v>938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959</v>
      </c>
      <c r="B5" s="18">
        <v>0</v>
      </c>
      <c r="C5" s="18">
        <v>0</v>
      </c>
      <c r="D5" s="3">
        <f t="shared" si="0"/>
        <v>0</v>
      </c>
      <c r="E5" s="20" t="s">
        <v>1044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1071</v>
      </c>
      <c r="B6" s="18">
        <v>0</v>
      </c>
      <c r="C6" s="18">
        <v>0</v>
      </c>
      <c r="D6" s="3">
        <f t="shared" si="0"/>
        <v>0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60810423</v>
      </c>
      <c r="C24" s="3">
        <f>SUM(C2:C22)</f>
        <v>7551324</v>
      </c>
      <c r="D24" s="3">
        <f>SUM(D2:D22)</f>
        <v>53259099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1457512690</v>
      </c>
      <c r="H25" s="18">
        <f>SUM(H2:H23)</f>
        <v>226539720</v>
      </c>
      <c r="I25" s="18">
        <f>SUM(I2:I23)</f>
        <v>1230972970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399318.54520547943</v>
      </c>
      <c r="H30" s="18">
        <f>G30*H25/G25</f>
        <v>62065.676712328765</v>
      </c>
      <c r="I30" s="18">
        <f>G30*I25/G25</f>
        <v>337252.86849315063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1114</v>
      </c>
      <c r="G31" s="9" t="s">
        <v>1074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1089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1113</v>
      </c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6631422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4" activePane="bottomLeft" state="frozen"/>
      <selection pane="bottomLeft" activeCell="F150" sqref="F15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718</v>
      </c>
      <c r="H2" s="36">
        <f>IF(B2&gt;0,1,0)</f>
        <v>1</v>
      </c>
      <c r="I2" s="11">
        <f>B2*(G2-H2)</f>
        <v>11973900</v>
      </c>
      <c r="J2" s="53">
        <f>C2*(G2-H2)</f>
        <v>11973900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717</v>
      </c>
      <c r="H3" s="36">
        <f t="shared" ref="H3:H66" si="2">IF(B3&gt;0,1,0)</f>
        <v>1</v>
      </c>
      <c r="I3" s="11">
        <f t="shared" ref="I3:I66" si="3">B3*(G3-H3)</f>
        <v>14248400000</v>
      </c>
      <c r="J3" s="53">
        <f t="shared" ref="J3:J66" si="4">C3*(G3-H3)</f>
        <v>8153092000</v>
      </c>
      <c r="K3" s="53">
        <f t="shared" ref="K3:K66" si="5">D3*(G3-H3)</f>
        <v>6095308000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717</v>
      </c>
      <c r="H4" s="36">
        <f t="shared" si="2"/>
        <v>0</v>
      </c>
      <c r="I4" s="11">
        <f t="shared" si="3"/>
        <v>0</v>
      </c>
      <c r="J4" s="53">
        <f t="shared" si="4"/>
        <v>6094500</v>
      </c>
      <c r="K4" s="53">
        <f t="shared" si="5"/>
        <v>-6094500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715</v>
      </c>
      <c r="H5" s="36">
        <f t="shared" si="2"/>
        <v>1</v>
      </c>
      <c r="I5" s="11">
        <f t="shared" si="3"/>
        <v>1428000000</v>
      </c>
      <c r="J5" s="53">
        <f t="shared" si="4"/>
        <v>0</v>
      </c>
      <c r="K5" s="53">
        <f t="shared" si="5"/>
        <v>1428000000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708</v>
      </c>
      <c r="H6" s="36">
        <f t="shared" si="2"/>
        <v>0</v>
      </c>
      <c r="I6" s="11">
        <f t="shared" si="3"/>
        <v>-3540000</v>
      </c>
      <c r="J6" s="53">
        <f t="shared" si="4"/>
        <v>0</v>
      </c>
      <c r="K6" s="53">
        <f t="shared" si="5"/>
        <v>-3540000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704</v>
      </c>
      <c r="H7" s="36">
        <f t="shared" si="2"/>
        <v>0</v>
      </c>
      <c r="I7" s="11">
        <f t="shared" si="3"/>
        <v>-845152000</v>
      </c>
      <c r="J7" s="53">
        <f t="shared" si="4"/>
        <v>0</v>
      </c>
      <c r="K7" s="53">
        <f t="shared" si="5"/>
        <v>-845152000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703</v>
      </c>
      <c r="H8" s="36">
        <f t="shared" si="2"/>
        <v>0</v>
      </c>
      <c r="I8" s="11">
        <f t="shared" si="3"/>
        <v>-140600000</v>
      </c>
      <c r="J8" s="53">
        <f t="shared" si="4"/>
        <v>0</v>
      </c>
      <c r="K8" s="53">
        <f t="shared" si="5"/>
        <v>-140600000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701</v>
      </c>
      <c r="H9" s="36">
        <f t="shared" si="2"/>
        <v>0</v>
      </c>
      <c r="I9" s="11">
        <f t="shared" si="3"/>
        <v>-494555500</v>
      </c>
      <c r="J9" s="53">
        <f t="shared" si="4"/>
        <v>0</v>
      </c>
      <c r="K9" s="53">
        <f t="shared" si="5"/>
        <v>-494555500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692</v>
      </c>
      <c r="H10" s="36">
        <f t="shared" si="2"/>
        <v>0</v>
      </c>
      <c r="I10" s="11">
        <f t="shared" si="3"/>
        <v>-138400000</v>
      </c>
      <c r="J10" s="53">
        <f t="shared" si="4"/>
        <v>0</v>
      </c>
      <c r="K10" s="53">
        <f t="shared" si="5"/>
        <v>-138400000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692</v>
      </c>
      <c r="H11" s="36">
        <f t="shared" si="2"/>
        <v>1</v>
      </c>
      <c r="I11" s="11">
        <f t="shared" si="3"/>
        <v>691000000</v>
      </c>
      <c r="J11" s="53">
        <f t="shared" si="4"/>
        <v>0</v>
      </c>
      <c r="K11" s="53">
        <f t="shared" si="5"/>
        <v>691000000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688</v>
      </c>
      <c r="H12" s="36">
        <f t="shared" si="2"/>
        <v>0</v>
      </c>
      <c r="I12" s="11">
        <f t="shared" si="3"/>
        <v>-206400000</v>
      </c>
      <c r="J12" s="53">
        <f t="shared" si="4"/>
        <v>0</v>
      </c>
      <c r="K12" s="53">
        <f t="shared" si="5"/>
        <v>-206400000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683</v>
      </c>
      <c r="H13" s="36">
        <f t="shared" si="2"/>
        <v>0</v>
      </c>
      <c r="I13" s="11">
        <f t="shared" si="3"/>
        <v>-42346000</v>
      </c>
      <c r="J13" s="53">
        <f t="shared" si="4"/>
        <v>0</v>
      </c>
      <c r="K13" s="53">
        <f t="shared" si="5"/>
        <v>-42346000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683</v>
      </c>
      <c r="H14" s="36">
        <f t="shared" si="2"/>
        <v>1</v>
      </c>
      <c r="I14" s="11">
        <f t="shared" si="3"/>
        <v>1364000000</v>
      </c>
      <c r="J14" s="53">
        <f t="shared" si="4"/>
        <v>0</v>
      </c>
      <c r="K14" s="53">
        <f t="shared" si="5"/>
        <v>1364000000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682</v>
      </c>
      <c r="H15" s="36">
        <f t="shared" si="2"/>
        <v>1</v>
      </c>
      <c r="I15" s="11">
        <f t="shared" si="3"/>
        <v>1225800000</v>
      </c>
      <c r="J15" s="53">
        <f t="shared" si="4"/>
        <v>0</v>
      </c>
      <c r="K15" s="53">
        <f t="shared" si="5"/>
        <v>1225800000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682</v>
      </c>
      <c r="H16" s="36">
        <f t="shared" si="2"/>
        <v>0</v>
      </c>
      <c r="I16" s="11">
        <f t="shared" si="3"/>
        <v>-136400000</v>
      </c>
      <c r="J16" s="53">
        <f t="shared" si="4"/>
        <v>0</v>
      </c>
      <c r="K16" s="53">
        <f t="shared" si="5"/>
        <v>-136400000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678</v>
      </c>
      <c r="H17" s="36">
        <f t="shared" si="2"/>
        <v>0</v>
      </c>
      <c r="I17" s="11">
        <f t="shared" si="3"/>
        <v>-1356000000</v>
      </c>
      <c r="J17" s="53">
        <f t="shared" si="4"/>
        <v>0</v>
      </c>
      <c r="K17" s="53">
        <f t="shared" si="5"/>
        <v>-1356000000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677</v>
      </c>
      <c r="H18" s="36">
        <f t="shared" si="2"/>
        <v>0</v>
      </c>
      <c r="I18" s="11">
        <f t="shared" si="3"/>
        <v>-203100000</v>
      </c>
      <c r="J18" s="53">
        <f t="shared" si="4"/>
        <v>0</v>
      </c>
      <c r="K18" s="53">
        <f t="shared" si="5"/>
        <v>-203100000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676</v>
      </c>
      <c r="H19" s="36">
        <f t="shared" si="2"/>
        <v>0</v>
      </c>
      <c r="I19" s="11">
        <f t="shared" si="3"/>
        <v>-135200000</v>
      </c>
      <c r="J19" s="53">
        <f t="shared" si="4"/>
        <v>0</v>
      </c>
      <c r="K19" s="53">
        <f t="shared" si="5"/>
        <v>-135200000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674</v>
      </c>
      <c r="H20" s="36">
        <f t="shared" si="2"/>
        <v>1</v>
      </c>
      <c r="I20" s="11">
        <f t="shared" si="3"/>
        <v>182442897</v>
      </c>
      <c r="J20" s="53">
        <f t="shared" si="4"/>
        <v>99235196</v>
      </c>
      <c r="K20" s="53">
        <f t="shared" si="5"/>
        <v>83207701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672</v>
      </c>
      <c r="H21" s="36">
        <f t="shared" si="2"/>
        <v>0</v>
      </c>
      <c r="I21" s="11">
        <f t="shared" si="3"/>
        <v>-1011830400</v>
      </c>
      <c r="J21" s="53">
        <f t="shared" si="4"/>
        <v>0</v>
      </c>
      <c r="K21" s="53">
        <f t="shared" si="5"/>
        <v>-1011830400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669</v>
      </c>
      <c r="H22" s="36">
        <f t="shared" si="2"/>
        <v>1</v>
      </c>
      <c r="I22" s="11">
        <f t="shared" si="3"/>
        <v>2004000000</v>
      </c>
      <c r="J22" s="53">
        <f t="shared" si="4"/>
        <v>0</v>
      </c>
      <c r="K22" s="53">
        <f t="shared" si="5"/>
        <v>2004000000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668</v>
      </c>
      <c r="H23" s="36">
        <f t="shared" si="2"/>
        <v>1</v>
      </c>
      <c r="I23" s="11">
        <f t="shared" si="3"/>
        <v>667000000</v>
      </c>
      <c r="J23" s="53">
        <f t="shared" si="4"/>
        <v>0</v>
      </c>
      <c r="K23" s="53">
        <f t="shared" si="5"/>
        <v>667000000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667</v>
      </c>
      <c r="H24" s="36">
        <f t="shared" si="2"/>
        <v>0</v>
      </c>
      <c r="I24" s="11">
        <f t="shared" si="3"/>
        <v>-2001600300</v>
      </c>
      <c r="J24" s="53">
        <f t="shared" si="4"/>
        <v>0</v>
      </c>
      <c r="K24" s="53">
        <f t="shared" si="5"/>
        <v>-2001600300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652</v>
      </c>
      <c r="H25" s="36">
        <f t="shared" si="2"/>
        <v>1</v>
      </c>
      <c r="I25" s="11">
        <f t="shared" si="3"/>
        <v>976500000</v>
      </c>
      <c r="J25" s="53">
        <f t="shared" si="4"/>
        <v>0</v>
      </c>
      <c r="K25" s="53">
        <f t="shared" si="5"/>
        <v>976500000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644</v>
      </c>
      <c r="H26" s="36">
        <f t="shared" si="2"/>
        <v>0</v>
      </c>
      <c r="I26" s="11">
        <f t="shared" si="3"/>
        <v>-105616000</v>
      </c>
      <c r="J26" s="53">
        <f t="shared" si="4"/>
        <v>0</v>
      </c>
      <c r="K26" s="53">
        <f t="shared" si="5"/>
        <v>-105616000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643</v>
      </c>
      <c r="H27" s="36">
        <f t="shared" si="2"/>
        <v>1</v>
      </c>
      <c r="I27" s="11">
        <f t="shared" si="3"/>
        <v>128010306</v>
      </c>
      <c r="J27" s="53">
        <f t="shared" si="4"/>
        <v>68959146</v>
      </c>
      <c r="K27" s="53">
        <f t="shared" si="5"/>
        <v>59051160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641</v>
      </c>
      <c r="H28" s="36">
        <f t="shared" si="2"/>
        <v>0</v>
      </c>
      <c r="I28" s="11">
        <f t="shared" si="3"/>
        <v>-141661000</v>
      </c>
      <c r="J28" s="53">
        <f t="shared" si="4"/>
        <v>-141661000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641</v>
      </c>
      <c r="H29" s="36">
        <f t="shared" si="2"/>
        <v>0</v>
      </c>
      <c r="I29" s="11">
        <f t="shared" si="3"/>
        <v>-320820500</v>
      </c>
      <c r="J29" s="53">
        <f t="shared" si="4"/>
        <v>0</v>
      </c>
      <c r="K29" s="53">
        <f t="shared" si="5"/>
        <v>-320820500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641</v>
      </c>
      <c r="H30" s="36">
        <f t="shared" si="2"/>
        <v>0</v>
      </c>
      <c r="I30" s="11">
        <f t="shared" si="3"/>
        <v>-9615000000</v>
      </c>
      <c r="J30" s="53">
        <f t="shared" si="4"/>
        <v>-9615000000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624</v>
      </c>
      <c r="H31" s="36">
        <f t="shared" si="2"/>
        <v>0</v>
      </c>
      <c r="I31" s="11">
        <f t="shared" si="3"/>
        <v>-1878801600</v>
      </c>
      <c r="J31" s="53">
        <f t="shared" si="4"/>
        <v>0</v>
      </c>
      <c r="K31" s="53">
        <f t="shared" si="5"/>
        <v>-1878801600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622</v>
      </c>
      <c r="H32" s="36">
        <f t="shared" si="2"/>
        <v>0</v>
      </c>
      <c r="I32" s="11">
        <f t="shared" si="3"/>
        <v>-1869669800</v>
      </c>
      <c r="J32" s="53">
        <f t="shared" si="4"/>
        <v>0</v>
      </c>
      <c r="K32" s="53">
        <f t="shared" si="5"/>
        <v>-1869669800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621</v>
      </c>
      <c r="H33" s="36">
        <f t="shared" si="2"/>
        <v>0</v>
      </c>
      <c r="I33" s="11">
        <f t="shared" si="3"/>
        <v>-556105500</v>
      </c>
      <c r="J33" s="53">
        <f t="shared" si="4"/>
        <v>0</v>
      </c>
      <c r="K33" s="53">
        <f t="shared" si="5"/>
        <v>-556105500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621</v>
      </c>
      <c r="H34" s="36">
        <f t="shared" si="2"/>
        <v>0</v>
      </c>
      <c r="I34" s="11">
        <f t="shared" si="3"/>
        <v>0</v>
      </c>
      <c r="J34" s="53">
        <f t="shared" si="4"/>
        <v>621000000</v>
      </c>
      <c r="K34" s="53">
        <f t="shared" si="5"/>
        <v>-621000000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612</v>
      </c>
      <c r="H35" s="36">
        <f t="shared" si="2"/>
        <v>1</v>
      </c>
      <c r="I35" s="11">
        <f t="shared" si="3"/>
        <v>32060392</v>
      </c>
      <c r="J35" s="53">
        <f t="shared" si="4"/>
        <v>-13236093</v>
      </c>
      <c r="K35" s="53">
        <f t="shared" si="5"/>
        <v>45296485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612</v>
      </c>
      <c r="H36" s="36">
        <f t="shared" si="2"/>
        <v>0</v>
      </c>
      <c r="I36" s="11">
        <f t="shared" si="3"/>
        <v>0</v>
      </c>
      <c r="J36" s="53">
        <f t="shared" si="4"/>
        <v>13257756</v>
      </c>
      <c r="K36" s="53">
        <f t="shared" si="5"/>
        <v>-13257756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602</v>
      </c>
      <c r="H37" s="36">
        <f t="shared" si="2"/>
        <v>0</v>
      </c>
      <c r="I37" s="11">
        <f t="shared" si="3"/>
        <v>-33110000</v>
      </c>
      <c r="J37" s="53">
        <f t="shared" si="4"/>
        <v>0</v>
      </c>
      <c r="K37" s="53">
        <f t="shared" si="5"/>
        <v>-33110000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601</v>
      </c>
      <c r="H38" s="36">
        <f t="shared" si="2"/>
        <v>1</v>
      </c>
      <c r="I38" s="11">
        <f t="shared" si="3"/>
        <v>1800000000</v>
      </c>
      <c r="J38" s="53">
        <f t="shared" si="4"/>
        <v>1800000000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600</v>
      </c>
      <c r="H39" s="36">
        <f t="shared" si="2"/>
        <v>1</v>
      </c>
      <c r="I39" s="11">
        <f t="shared" si="3"/>
        <v>1497500000</v>
      </c>
      <c r="J39" s="53">
        <f t="shared" si="4"/>
        <v>1497500000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600</v>
      </c>
      <c r="H40" s="36">
        <f t="shared" si="2"/>
        <v>0</v>
      </c>
      <c r="I40" s="11">
        <f t="shared" si="3"/>
        <v>-30000000</v>
      </c>
      <c r="J40" s="53">
        <f t="shared" si="4"/>
        <v>0</v>
      </c>
      <c r="K40" s="53">
        <f t="shared" si="5"/>
        <v>-30000000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600</v>
      </c>
      <c r="H41" s="36">
        <f t="shared" si="2"/>
        <v>1</v>
      </c>
      <c r="I41" s="11">
        <f t="shared" si="3"/>
        <v>1797000000</v>
      </c>
      <c r="J41" s="53">
        <f t="shared" si="4"/>
        <v>0</v>
      </c>
      <c r="K41" s="53">
        <f t="shared" si="5"/>
        <v>1797000000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597</v>
      </c>
      <c r="H42" s="36">
        <f t="shared" si="2"/>
        <v>0</v>
      </c>
      <c r="I42" s="11">
        <f t="shared" si="3"/>
        <v>-53252400</v>
      </c>
      <c r="J42" s="53">
        <f t="shared" si="4"/>
        <v>0</v>
      </c>
      <c r="K42" s="53">
        <f t="shared" si="5"/>
        <v>-53252400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593</v>
      </c>
      <c r="H43" s="36">
        <f t="shared" si="2"/>
        <v>0</v>
      </c>
      <c r="I43" s="11">
        <f t="shared" si="3"/>
        <v>-118600000</v>
      </c>
      <c r="J43" s="53">
        <f t="shared" si="4"/>
        <v>0</v>
      </c>
      <c r="K43" s="53">
        <f t="shared" si="5"/>
        <v>-118600000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591</v>
      </c>
      <c r="H44" s="36">
        <f t="shared" si="2"/>
        <v>0</v>
      </c>
      <c r="I44" s="11">
        <f t="shared" si="3"/>
        <v>-118200000</v>
      </c>
      <c r="J44" s="53">
        <f t="shared" si="4"/>
        <v>0</v>
      </c>
      <c r="K44" s="53">
        <f t="shared" si="5"/>
        <v>-118200000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591</v>
      </c>
      <c r="H45" s="36">
        <f t="shared" si="2"/>
        <v>0</v>
      </c>
      <c r="I45" s="11">
        <f t="shared" si="3"/>
        <v>-330960000</v>
      </c>
      <c r="J45" s="53">
        <f t="shared" si="4"/>
        <v>0</v>
      </c>
      <c r="K45" s="53">
        <f t="shared" si="5"/>
        <v>-330960000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587</v>
      </c>
      <c r="H46" s="36">
        <f t="shared" si="2"/>
        <v>0</v>
      </c>
      <c r="I46" s="11">
        <f t="shared" si="3"/>
        <v>-414128500</v>
      </c>
      <c r="J46" s="53">
        <f t="shared" si="4"/>
        <v>0</v>
      </c>
      <c r="K46" s="53">
        <f t="shared" si="5"/>
        <v>-414128500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581</v>
      </c>
      <c r="H47" s="36">
        <f t="shared" si="2"/>
        <v>1</v>
      </c>
      <c r="I47" s="11">
        <f t="shared" si="3"/>
        <v>23898320</v>
      </c>
      <c r="J47" s="53">
        <f t="shared" si="4"/>
        <v>3893540</v>
      </c>
      <c r="K47" s="53">
        <f t="shared" si="5"/>
        <v>20004780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581</v>
      </c>
      <c r="H48" s="36">
        <f t="shared" si="2"/>
        <v>1</v>
      </c>
      <c r="I48" s="11">
        <f t="shared" si="3"/>
        <v>988726000</v>
      </c>
      <c r="J48" s="53">
        <f t="shared" si="4"/>
        <v>0</v>
      </c>
      <c r="K48" s="53">
        <f t="shared" si="5"/>
        <v>988726000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572</v>
      </c>
      <c r="H49" s="36">
        <f t="shared" si="2"/>
        <v>0</v>
      </c>
      <c r="I49" s="11">
        <f t="shared" si="3"/>
        <v>-88660000</v>
      </c>
      <c r="J49" s="53">
        <f t="shared" si="4"/>
        <v>0</v>
      </c>
      <c r="K49" s="53">
        <f t="shared" si="5"/>
        <v>-88660000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572</v>
      </c>
      <c r="H50" s="36">
        <f t="shared" si="2"/>
        <v>0</v>
      </c>
      <c r="I50" s="11">
        <f t="shared" si="3"/>
        <v>-78936000</v>
      </c>
      <c r="J50" s="53">
        <f t="shared" si="4"/>
        <v>0</v>
      </c>
      <c r="K50" s="53">
        <f t="shared" si="5"/>
        <v>-78936000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572</v>
      </c>
      <c r="H51" s="36">
        <f t="shared" si="2"/>
        <v>0</v>
      </c>
      <c r="I51" s="11">
        <f t="shared" si="3"/>
        <v>-423280000</v>
      </c>
      <c r="J51" s="53">
        <f t="shared" si="4"/>
        <v>0</v>
      </c>
      <c r="K51" s="53">
        <f t="shared" si="5"/>
        <v>-423280000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572</v>
      </c>
      <c r="H52" s="36">
        <f t="shared" si="2"/>
        <v>0</v>
      </c>
      <c r="I52" s="11">
        <f t="shared" si="3"/>
        <v>-114400000</v>
      </c>
      <c r="J52" s="53">
        <f t="shared" si="4"/>
        <v>0</v>
      </c>
      <c r="K52" s="53">
        <f t="shared" si="5"/>
        <v>-114400000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571</v>
      </c>
      <c r="H53" s="36">
        <f t="shared" si="2"/>
        <v>0</v>
      </c>
      <c r="I53" s="11">
        <f t="shared" si="3"/>
        <v>-602405000</v>
      </c>
      <c r="J53" s="53">
        <f t="shared" si="4"/>
        <v>0</v>
      </c>
      <c r="K53" s="53">
        <f t="shared" si="5"/>
        <v>-602405000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571</v>
      </c>
      <c r="H54" s="36">
        <f t="shared" si="2"/>
        <v>0</v>
      </c>
      <c r="I54" s="11">
        <f t="shared" si="3"/>
        <v>-114200000</v>
      </c>
      <c r="J54" s="53">
        <f t="shared" si="4"/>
        <v>0</v>
      </c>
      <c r="K54" s="53">
        <f t="shared" si="5"/>
        <v>-114200000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571</v>
      </c>
      <c r="H55" s="36">
        <f t="shared" si="2"/>
        <v>0</v>
      </c>
      <c r="I55" s="11">
        <f t="shared" si="3"/>
        <v>-571285500</v>
      </c>
      <c r="J55" s="53">
        <f t="shared" si="4"/>
        <v>0</v>
      </c>
      <c r="K55" s="53">
        <f t="shared" si="5"/>
        <v>-571285500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571</v>
      </c>
      <c r="H56" s="36">
        <f t="shared" si="2"/>
        <v>0</v>
      </c>
      <c r="I56" s="11">
        <f t="shared" si="3"/>
        <v>-21698000</v>
      </c>
      <c r="J56" s="53">
        <f t="shared" si="4"/>
        <v>0</v>
      </c>
      <c r="K56" s="53">
        <f t="shared" si="5"/>
        <v>-21698000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571</v>
      </c>
      <c r="H57" s="36">
        <f t="shared" si="2"/>
        <v>0</v>
      </c>
      <c r="I57" s="11">
        <f t="shared" si="3"/>
        <v>-59955000</v>
      </c>
      <c r="J57" s="53">
        <f t="shared" si="4"/>
        <v>0</v>
      </c>
      <c r="K57" s="53">
        <f t="shared" si="5"/>
        <v>-59955000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571</v>
      </c>
      <c r="H58" s="36">
        <f t="shared" si="2"/>
        <v>0</v>
      </c>
      <c r="I58" s="11">
        <f t="shared" si="3"/>
        <v>-34260000</v>
      </c>
      <c r="J58" s="53">
        <f t="shared" si="4"/>
        <v>0</v>
      </c>
      <c r="K58" s="53">
        <f t="shared" si="5"/>
        <v>-34260000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568</v>
      </c>
      <c r="H59" s="36">
        <f t="shared" si="2"/>
        <v>1</v>
      </c>
      <c r="I59" s="11">
        <f t="shared" si="3"/>
        <v>567000000</v>
      </c>
      <c r="J59" s="53">
        <f t="shared" si="4"/>
        <v>567000000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567</v>
      </c>
      <c r="H60" s="36">
        <f t="shared" si="2"/>
        <v>1</v>
      </c>
      <c r="I60" s="11">
        <f t="shared" si="3"/>
        <v>1981000000</v>
      </c>
      <c r="J60" s="53">
        <f t="shared" si="4"/>
        <v>1981000000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565</v>
      </c>
      <c r="H61" s="36">
        <f t="shared" si="2"/>
        <v>1</v>
      </c>
      <c r="I61" s="11">
        <f t="shared" si="3"/>
        <v>564000000</v>
      </c>
      <c r="J61" s="53">
        <f t="shared" si="4"/>
        <v>564000000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565</v>
      </c>
      <c r="H62" s="36">
        <f t="shared" si="2"/>
        <v>1</v>
      </c>
      <c r="I62" s="11">
        <f t="shared" si="3"/>
        <v>1692000000</v>
      </c>
      <c r="J62" s="53">
        <f t="shared" si="4"/>
        <v>1692000000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563</v>
      </c>
      <c r="H63" s="36">
        <f t="shared" si="2"/>
        <v>0</v>
      </c>
      <c r="I63" s="11">
        <f t="shared" si="3"/>
        <v>-112600000</v>
      </c>
      <c r="J63" s="53">
        <f t="shared" si="4"/>
        <v>0</v>
      </c>
      <c r="K63" s="53">
        <f t="shared" si="5"/>
        <v>-112600000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558</v>
      </c>
      <c r="H64" s="36">
        <f t="shared" si="2"/>
        <v>0</v>
      </c>
      <c r="I64" s="11">
        <f t="shared" si="3"/>
        <v>-27900000</v>
      </c>
      <c r="J64" s="53">
        <f t="shared" si="4"/>
        <v>0</v>
      </c>
      <c r="K64" s="53">
        <f t="shared" si="5"/>
        <v>-27900000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554</v>
      </c>
      <c r="H65" s="36">
        <f t="shared" si="2"/>
        <v>0</v>
      </c>
      <c r="I65" s="11">
        <f t="shared" si="3"/>
        <v>-110800000</v>
      </c>
      <c r="J65" s="53">
        <f t="shared" si="4"/>
        <v>0</v>
      </c>
      <c r="K65" s="53">
        <f t="shared" si="5"/>
        <v>-110800000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551</v>
      </c>
      <c r="H66" s="36">
        <f t="shared" si="2"/>
        <v>0</v>
      </c>
      <c r="I66" s="11">
        <f t="shared" si="3"/>
        <v>-93670000</v>
      </c>
      <c r="J66" s="53">
        <f t="shared" si="4"/>
        <v>0</v>
      </c>
      <c r="K66" s="53">
        <f t="shared" si="5"/>
        <v>-93670000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550</v>
      </c>
      <c r="H67" s="36">
        <f t="shared" ref="H67:H131" si="8">IF(B67&gt;0,1,0)</f>
        <v>1</v>
      </c>
      <c r="I67" s="11">
        <f t="shared" ref="I67:I119" si="9">B67*(G67-H67)</f>
        <v>50137425</v>
      </c>
      <c r="J67" s="53">
        <f t="shared" ref="J67:J131" si="10">C67*(G67-H67)</f>
        <v>36081927</v>
      </c>
      <c r="K67" s="53">
        <f t="shared" ref="K67:K131" si="11">D67*(G67-H67)</f>
        <v>14055498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532</v>
      </c>
      <c r="H68" s="36">
        <f t="shared" si="8"/>
        <v>0</v>
      </c>
      <c r="I68" s="11">
        <f t="shared" si="9"/>
        <v>-77140000</v>
      </c>
      <c r="J68" s="53">
        <f t="shared" si="10"/>
        <v>0</v>
      </c>
      <c r="K68" s="53">
        <f t="shared" si="11"/>
        <v>-77140000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525</v>
      </c>
      <c r="H69" s="36">
        <f t="shared" si="8"/>
        <v>1</v>
      </c>
      <c r="I69" s="11">
        <f t="shared" si="9"/>
        <v>513520000</v>
      </c>
      <c r="J69" s="53">
        <f t="shared" si="10"/>
        <v>0</v>
      </c>
      <c r="K69" s="53">
        <f t="shared" si="11"/>
        <v>513520000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522</v>
      </c>
      <c r="H70" s="36">
        <f t="shared" si="8"/>
        <v>0</v>
      </c>
      <c r="I70" s="11">
        <f t="shared" si="9"/>
        <v>-24012000</v>
      </c>
      <c r="J70" s="53">
        <f t="shared" si="10"/>
        <v>0</v>
      </c>
      <c r="K70" s="53">
        <f t="shared" si="11"/>
        <v>-24012000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520</v>
      </c>
      <c r="H71" s="36">
        <f t="shared" si="8"/>
        <v>1</v>
      </c>
      <c r="I71" s="11">
        <f t="shared" si="9"/>
        <v>59860422</v>
      </c>
      <c r="J71" s="53">
        <f t="shared" si="10"/>
        <v>53878428</v>
      </c>
      <c r="K71" s="53">
        <f t="shared" si="11"/>
        <v>5981994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519</v>
      </c>
      <c r="H72" s="36">
        <f t="shared" si="8"/>
        <v>0</v>
      </c>
      <c r="I72" s="11">
        <f t="shared" si="9"/>
        <v>-78871911</v>
      </c>
      <c r="J72" s="53">
        <f t="shared" si="10"/>
        <v>0</v>
      </c>
      <c r="K72" s="53">
        <f t="shared" si="11"/>
        <v>-78871911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518</v>
      </c>
      <c r="H73" s="36">
        <f t="shared" si="8"/>
        <v>0</v>
      </c>
      <c r="I73" s="11">
        <f t="shared" si="9"/>
        <v>-417249000</v>
      </c>
      <c r="J73" s="53">
        <f t="shared" si="10"/>
        <v>0</v>
      </c>
      <c r="K73" s="53">
        <f t="shared" si="11"/>
        <v>-417249000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511</v>
      </c>
      <c r="H74" s="36">
        <f t="shared" si="8"/>
        <v>1</v>
      </c>
      <c r="I74" s="11">
        <f t="shared" si="9"/>
        <v>3567450000</v>
      </c>
      <c r="J74" s="53">
        <f t="shared" si="10"/>
        <v>0</v>
      </c>
      <c r="K74" s="53">
        <f t="shared" si="11"/>
        <v>3567450000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510</v>
      </c>
      <c r="H75" s="36">
        <f t="shared" si="8"/>
        <v>1</v>
      </c>
      <c r="I75" s="11">
        <f t="shared" si="9"/>
        <v>1527000000</v>
      </c>
      <c r="J75" s="53">
        <f t="shared" si="10"/>
        <v>0</v>
      </c>
      <c r="K75" s="53">
        <f t="shared" si="11"/>
        <v>1527000000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508</v>
      </c>
      <c r="H76" s="36">
        <f t="shared" si="8"/>
        <v>1</v>
      </c>
      <c r="I76" s="11">
        <f t="shared" si="9"/>
        <v>1521000000</v>
      </c>
      <c r="J76" s="53">
        <f t="shared" si="10"/>
        <v>0</v>
      </c>
      <c r="K76" s="53">
        <f t="shared" si="11"/>
        <v>1521000000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507</v>
      </c>
      <c r="H77" s="36">
        <f t="shared" si="8"/>
        <v>1</v>
      </c>
      <c r="I77" s="11">
        <f t="shared" si="9"/>
        <v>1518000000</v>
      </c>
      <c r="J77" s="53">
        <f t="shared" si="10"/>
        <v>0</v>
      </c>
      <c r="K77" s="53">
        <f t="shared" si="11"/>
        <v>1518000000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506</v>
      </c>
      <c r="H78" s="36">
        <f t="shared" si="8"/>
        <v>0</v>
      </c>
      <c r="I78" s="11">
        <f t="shared" si="9"/>
        <v>-1619200000</v>
      </c>
      <c r="J78" s="53">
        <f t="shared" si="10"/>
        <v>-1619200000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505</v>
      </c>
      <c r="H79" s="36">
        <f t="shared" si="8"/>
        <v>0</v>
      </c>
      <c r="I79" s="11">
        <f t="shared" si="9"/>
        <v>-404000000</v>
      </c>
      <c r="J79" s="53">
        <f t="shared" si="10"/>
        <v>-404000000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504</v>
      </c>
      <c r="H80" s="36">
        <f t="shared" si="8"/>
        <v>0</v>
      </c>
      <c r="I80" s="11">
        <f t="shared" si="9"/>
        <v>-24390072</v>
      </c>
      <c r="J80" s="53">
        <f t="shared" si="10"/>
        <v>0</v>
      </c>
      <c r="K80" s="53">
        <f t="shared" si="11"/>
        <v>-24390072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503</v>
      </c>
      <c r="H81" s="36">
        <f t="shared" si="8"/>
        <v>0</v>
      </c>
      <c r="I81" s="11">
        <f t="shared" si="9"/>
        <v>-70420000</v>
      </c>
      <c r="J81" s="53">
        <f t="shared" si="10"/>
        <v>0</v>
      </c>
      <c r="K81" s="53">
        <f t="shared" si="11"/>
        <v>-70420000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502</v>
      </c>
      <c r="H82" s="36">
        <f t="shared" si="8"/>
        <v>0</v>
      </c>
      <c r="I82" s="11">
        <f t="shared" si="9"/>
        <v>-125500000</v>
      </c>
      <c r="J82" s="53">
        <f t="shared" si="10"/>
        <v>0</v>
      </c>
      <c r="K82" s="53">
        <f t="shared" si="11"/>
        <v>-125500000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501</v>
      </c>
      <c r="H83" s="36">
        <f t="shared" si="8"/>
        <v>0</v>
      </c>
      <c r="I83" s="11">
        <f t="shared" si="9"/>
        <v>-100200000</v>
      </c>
      <c r="J83" s="53">
        <f t="shared" si="10"/>
        <v>0</v>
      </c>
      <c r="K83" s="53">
        <f t="shared" si="11"/>
        <v>-100200000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498</v>
      </c>
      <c r="H84" s="36">
        <f t="shared" si="8"/>
        <v>1</v>
      </c>
      <c r="I84" s="11">
        <f t="shared" si="9"/>
        <v>812694400</v>
      </c>
      <c r="J84" s="53">
        <f t="shared" si="10"/>
        <v>0</v>
      </c>
      <c r="K84" s="53">
        <f t="shared" si="11"/>
        <v>812694400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494</v>
      </c>
      <c r="H85" s="36">
        <f t="shared" si="8"/>
        <v>1</v>
      </c>
      <c r="I85" s="11">
        <f t="shared" si="9"/>
        <v>1232500000</v>
      </c>
      <c r="J85" s="53">
        <f t="shared" si="10"/>
        <v>0</v>
      </c>
      <c r="K85" s="53">
        <f t="shared" si="11"/>
        <v>1232500000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490</v>
      </c>
      <c r="H86" s="36">
        <f t="shared" si="8"/>
        <v>1</v>
      </c>
      <c r="I86" s="11">
        <f t="shared" si="9"/>
        <v>91100700</v>
      </c>
      <c r="J86" s="53">
        <f t="shared" si="10"/>
        <v>41540550</v>
      </c>
      <c r="K86" s="53">
        <f t="shared" si="11"/>
        <v>49560150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487</v>
      </c>
      <c r="H87" s="36">
        <f t="shared" si="8"/>
        <v>0</v>
      </c>
      <c r="I87" s="11">
        <f t="shared" si="9"/>
        <v>-97400000</v>
      </c>
      <c r="J87" s="53">
        <f t="shared" si="10"/>
        <v>0</v>
      </c>
      <c r="K87" s="53">
        <f t="shared" si="11"/>
        <v>-97400000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486</v>
      </c>
      <c r="H88" s="36">
        <f t="shared" si="8"/>
        <v>0</v>
      </c>
      <c r="I88" s="11">
        <f t="shared" si="9"/>
        <v>-57348000</v>
      </c>
      <c r="J88" s="53">
        <f t="shared" si="10"/>
        <v>-33534000</v>
      </c>
      <c r="K88" s="53">
        <f t="shared" si="11"/>
        <v>-23814000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478</v>
      </c>
      <c r="H89" s="36">
        <f t="shared" si="8"/>
        <v>0</v>
      </c>
      <c r="I89" s="11">
        <f t="shared" si="9"/>
        <v>-1530030200</v>
      </c>
      <c r="J89" s="53">
        <f t="shared" si="10"/>
        <v>0</v>
      </c>
      <c r="K89" s="53">
        <f t="shared" si="11"/>
        <v>-1530030200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477</v>
      </c>
      <c r="H90" s="36">
        <f t="shared" si="8"/>
        <v>0</v>
      </c>
      <c r="I90" s="11">
        <f t="shared" si="9"/>
        <v>-1526829300</v>
      </c>
      <c r="J90" s="53">
        <f t="shared" si="10"/>
        <v>0</v>
      </c>
      <c r="K90" s="53">
        <f t="shared" si="11"/>
        <v>-1526829300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476</v>
      </c>
      <c r="H91" s="36">
        <f t="shared" si="8"/>
        <v>0</v>
      </c>
      <c r="I91" s="11">
        <f t="shared" si="9"/>
        <v>-1523628400</v>
      </c>
      <c r="J91" s="53">
        <f t="shared" si="10"/>
        <v>0</v>
      </c>
      <c r="K91" s="53">
        <f t="shared" si="11"/>
        <v>-1523628400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475</v>
      </c>
      <c r="H92" s="36">
        <f t="shared" si="8"/>
        <v>0</v>
      </c>
      <c r="I92" s="11">
        <f t="shared" si="9"/>
        <v>-1520427500</v>
      </c>
      <c r="J92" s="53">
        <f t="shared" si="10"/>
        <v>0</v>
      </c>
      <c r="K92" s="53">
        <f t="shared" si="11"/>
        <v>-1520427500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474</v>
      </c>
      <c r="H93" s="36">
        <f t="shared" si="8"/>
        <v>0</v>
      </c>
      <c r="I93" s="11">
        <f t="shared" si="9"/>
        <v>-1517226600</v>
      </c>
      <c r="J93" s="53">
        <f t="shared" si="10"/>
        <v>0</v>
      </c>
      <c r="K93" s="53">
        <f t="shared" si="11"/>
        <v>-1517226600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473</v>
      </c>
      <c r="H94" s="36">
        <f t="shared" si="8"/>
        <v>0</v>
      </c>
      <c r="I94" s="11">
        <f t="shared" si="9"/>
        <v>-1514025700</v>
      </c>
      <c r="J94" s="53">
        <f t="shared" si="10"/>
        <v>0</v>
      </c>
      <c r="K94" s="53">
        <f t="shared" si="11"/>
        <v>-1514025700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471</v>
      </c>
      <c r="H95" s="36">
        <f t="shared" si="8"/>
        <v>0</v>
      </c>
      <c r="I95" s="11">
        <f t="shared" si="9"/>
        <v>-563596716</v>
      </c>
      <c r="J95" s="53">
        <f t="shared" si="10"/>
        <v>0</v>
      </c>
      <c r="K95" s="53">
        <f t="shared" si="11"/>
        <v>-563596716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461</v>
      </c>
      <c r="H96" s="36">
        <f t="shared" si="8"/>
        <v>0</v>
      </c>
      <c r="I96" s="11">
        <f t="shared" si="9"/>
        <v>-92200000</v>
      </c>
      <c r="J96" s="53">
        <f t="shared" si="10"/>
        <v>0</v>
      </c>
      <c r="K96" s="53">
        <f t="shared" si="11"/>
        <v>-92200000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460</v>
      </c>
      <c r="H97" s="36">
        <f t="shared" si="8"/>
        <v>1</v>
      </c>
      <c r="I97" s="11">
        <f t="shared" si="9"/>
        <v>73237122</v>
      </c>
      <c r="J97" s="53">
        <f t="shared" si="10"/>
        <v>31637034</v>
      </c>
      <c r="K97" s="53">
        <f t="shared" si="11"/>
        <v>41600088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455</v>
      </c>
      <c r="H98" s="36">
        <f t="shared" si="8"/>
        <v>1</v>
      </c>
      <c r="I98" s="11">
        <f t="shared" si="9"/>
        <v>51923072</v>
      </c>
      <c r="J98" s="53">
        <f t="shared" si="10"/>
        <v>0</v>
      </c>
      <c r="K98" s="53">
        <f t="shared" si="11"/>
        <v>51923072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452</v>
      </c>
      <c r="H99" s="36">
        <f t="shared" si="8"/>
        <v>0</v>
      </c>
      <c r="I99" s="11">
        <f t="shared" si="9"/>
        <v>-598900000</v>
      </c>
      <c r="J99" s="53">
        <f t="shared" si="10"/>
        <v>0</v>
      </c>
      <c r="K99" s="53">
        <f t="shared" si="11"/>
        <v>-598900000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447</v>
      </c>
      <c r="H100" s="36">
        <f t="shared" si="8"/>
        <v>1</v>
      </c>
      <c r="I100" s="11">
        <f t="shared" si="9"/>
        <v>590950000</v>
      </c>
      <c r="J100" s="53">
        <f t="shared" si="10"/>
        <v>0</v>
      </c>
      <c r="K100" s="53">
        <f t="shared" si="11"/>
        <v>590950000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430</v>
      </c>
      <c r="H101" s="36">
        <f t="shared" si="8"/>
        <v>1</v>
      </c>
      <c r="I101" s="11">
        <f t="shared" si="9"/>
        <v>28676505</v>
      </c>
      <c r="J101" s="53">
        <f t="shared" si="10"/>
        <v>28676505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427</v>
      </c>
      <c r="H102" s="36">
        <f t="shared" si="8"/>
        <v>1</v>
      </c>
      <c r="I102" s="11">
        <f t="shared" si="9"/>
        <v>1278000000</v>
      </c>
      <c r="J102" s="53">
        <f t="shared" si="10"/>
        <v>0</v>
      </c>
      <c r="K102" s="53">
        <f t="shared" si="11"/>
        <v>1278000000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420</v>
      </c>
      <c r="H103" s="36">
        <f t="shared" si="8"/>
        <v>0</v>
      </c>
      <c r="I103" s="11">
        <f t="shared" si="9"/>
        <v>-420000000</v>
      </c>
      <c r="J103" s="53">
        <f t="shared" si="10"/>
        <v>-420000000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410</v>
      </c>
      <c r="H104" s="36">
        <f t="shared" si="8"/>
        <v>1</v>
      </c>
      <c r="I104" s="11">
        <f t="shared" si="9"/>
        <v>1227000000</v>
      </c>
      <c r="J104" s="53">
        <f t="shared" si="10"/>
        <v>1227000000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409</v>
      </c>
      <c r="H105" s="36">
        <f t="shared" si="8"/>
        <v>1</v>
      </c>
      <c r="I105" s="11">
        <f t="shared" si="9"/>
        <v>456960000</v>
      </c>
      <c r="J105" s="53">
        <f t="shared" si="10"/>
        <v>456960000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409</v>
      </c>
      <c r="H106" s="36">
        <f t="shared" si="8"/>
        <v>0</v>
      </c>
      <c r="I106" s="11">
        <f t="shared" si="9"/>
        <v>-1227000000</v>
      </c>
      <c r="J106" s="53">
        <f t="shared" si="10"/>
        <v>0</v>
      </c>
      <c r="K106" s="53">
        <f t="shared" si="11"/>
        <v>-1227000000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400</v>
      </c>
      <c r="H107" s="36">
        <f t="shared" si="8"/>
        <v>1</v>
      </c>
      <c r="I107" s="11">
        <f t="shared" si="9"/>
        <v>36107106</v>
      </c>
      <c r="J107" s="53">
        <f t="shared" si="10"/>
        <v>29970885</v>
      </c>
      <c r="K107" s="53">
        <f t="shared" si="11"/>
        <v>6136221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398</v>
      </c>
      <c r="H108" s="36">
        <f t="shared" si="8"/>
        <v>0</v>
      </c>
      <c r="I108" s="11">
        <f t="shared" si="9"/>
        <v>-676878600</v>
      </c>
      <c r="J108" s="53">
        <f t="shared" si="10"/>
        <v>0</v>
      </c>
      <c r="K108" s="53">
        <f t="shared" si="11"/>
        <v>-676878600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394</v>
      </c>
      <c r="H109" s="36">
        <f t="shared" si="8"/>
        <v>0</v>
      </c>
      <c r="I109" s="11">
        <f t="shared" si="9"/>
        <v>-394197000</v>
      </c>
      <c r="J109" s="53">
        <f t="shared" si="10"/>
        <v>0</v>
      </c>
      <c r="K109" s="53">
        <f t="shared" si="11"/>
        <v>-394197000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391</v>
      </c>
      <c r="H110" s="36">
        <f t="shared" si="8"/>
        <v>1</v>
      </c>
      <c r="I110" s="11">
        <f t="shared" si="9"/>
        <v>7800000000</v>
      </c>
      <c r="J110" s="53">
        <f t="shared" si="10"/>
        <v>0</v>
      </c>
      <c r="K110" s="53">
        <f t="shared" si="11"/>
        <v>7800000000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371</v>
      </c>
      <c r="H111" s="36">
        <f t="shared" si="8"/>
        <v>1</v>
      </c>
      <c r="I111" s="11">
        <f t="shared" si="9"/>
        <v>64630860</v>
      </c>
      <c r="J111" s="53">
        <f t="shared" si="10"/>
        <v>32324310</v>
      </c>
      <c r="K111" s="53">
        <f t="shared" si="11"/>
        <v>32306550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355</v>
      </c>
      <c r="H112" s="36">
        <f t="shared" si="8"/>
        <v>0</v>
      </c>
      <c r="I112" s="11">
        <f t="shared" si="9"/>
        <v>-10082000000</v>
      </c>
      <c r="J112" s="53">
        <f t="shared" si="10"/>
        <v>0</v>
      </c>
      <c r="K112" s="53">
        <f t="shared" si="11"/>
        <v>-10082000000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340</v>
      </c>
      <c r="H113" s="36">
        <f t="shared" si="8"/>
        <v>1</v>
      </c>
      <c r="I113" s="11">
        <f t="shared" si="9"/>
        <v>55270560</v>
      </c>
      <c r="J113" s="53">
        <f t="shared" si="10"/>
        <v>41531229</v>
      </c>
      <c r="K113" s="53">
        <f t="shared" si="11"/>
        <v>13739331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340</v>
      </c>
      <c r="H114" s="36">
        <f t="shared" si="8"/>
        <v>0</v>
      </c>
      <c r="I114" s="11">
        <f t="shared" si="9"/>
        <v>-1938000</v>
      </c>
      <c r="J114" s="53">
        <f t="shared" si="10"/>
        <v>-850000</v>
      </c>
      <c r="K114" s="53">
        <f t="shared" si="11"/>
        <v>-1088000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327</v>
      </c>
      <c r="H115" s="36">
        <f t="shared" si="8"/>
        <v>0</v>
      </c>
      <c r="I115" s="11">
        <f t="shared" si="9"/>
        <v>0</v>
      </c>
      <c r="J115" s="53">
        <f t="shared" si="10"/>
        <v>163500000</v>
      </c>
      <c r="K115" s="53">
        <f t="shared" si="11"/>
        <v>-163500000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319</v>
      </c>
      <c r="H116" s="36">
        <f t="shared" si="8"/>
        <v>0</v>
      </c>
      <c r="I116" s="11">
        <f t="shared" si="9"/>
        <v>-51040000</v>
      </c>
      <c r="J116" s="53">
        <f t="shared" si="10"/>
        <v>0</v>
      </c>
      <c r="K116" s="53">
        <f t="shared" si="11"/>
        <v>-51040000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310</v>
      </c>
      <c r="H117" s="36">
        <f t="shared" si="8"/>
        <v>1</v>
      </c>
      <c r="I117" s="11">
        <f t="shared" si="9"/>
        <v>457320</v>
      </c>
      <c r="J117" s="53">
        <f t="shared" si="10"/>
        <v>33044769</v>
      </c>
      <c r="K117" s="53">
        <f t="shared" si="11"/>
        <v>-32587449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288</v>
      </c>
      <c r="H118" s="36">
        <f t="shared" si="8"/>
        <v>1</v>
      </c>
      <c r="I118" s="11">
        <f t="shared" si="9"/>
        <v>11307656500</v>
      </c>
      <c r="J118" s="53">
        <f t="shared" si="10"/>
        <v>0</v>
      </c>
      <c r="K118" s="53">
        <f t="shared" si="11"/>
        <v>11307656500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279</v>
      </c>
      <c r="H119" s="36">
        <f t="shared" si="8"/>
        <v>1</v>
      </c>
      <c r="I119" s="11">
        <f t="shared" si="9"/>
        <v>26554838</v>
      </c>
      <c r="J119" s="53">
        <f t="shared" si="10"/>
        <v>30595012</v>
      </c>
      <c r="K119" s="53">
        <f t="shared" si="11"/>
        <v>-4040174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275</v>
      </c>
      <c r="H120" s="11">
        <f t="shared" si="8"/>
        <v>1</v>
      </c>
      <c r="I120" s="11">
        <f t="shared" ref="I120:I155" si="13">B120*(G120-H120)</f>
        <v>548000000</v>
      </c>
      <c r="J120" s="11">
        <f t="shared" si="10"/>
        <v>0</v>
      </c>
      <c r="K120" s="11">
        <f t="shared" si="11"/>
        <v>548000000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249</v>
      </c>
      <c r="H121" s="11">
        <f t="shared" si="8"/>
        <v>1</v>
      </c>
      <c r="I121" s="11">
        <f t="shared" si="13"/>
        <v>644800000</v>
      </c>
      <c r="J121" s="11">
        <f t="shared" si="10"/>
        <v>0</v>
      </c>
      <c r="K121" s="11">
        <f t="shared" si="11"/>
        <v>644800000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248</v>
      </c>
      <c r="H122" s="11">
        <f t="shared" si="8"/>
        <v>1</v>
      </c>
      <c r="I122" s="11">
        <f t="shared" si="13"/>
        <v>94984097</v>
      </c>
      <c r="J122" s="11">
        <f t="shared" si="10"/>
        <v>27394276</v>
      </c>
      <c r="K122" s="11">
        <f t="shared" si="11"/>
        <v>67589821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247</v>
      </c>
      <c r="H123" s="11">
        <f t="shared" si="8"/>
        <v>0</v>
      </c>
      <c r="I123" s="11">
        <f t="shared" si="13"/>
        <v>0</v>
      </c>
      <c r="J123" s="11">
        <f t="shared" si="10"/>
        <v>197600000</v>
      </c>
      <c r="K123" s="11">
        <f t="shared" si="11"/>
        <v>-197600000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233</v>
      </c>
      <c r="H124" s="11">
        <f t="shared" si="8"/>
        <v>0</v>
      </c>
      <c r="I124" s="11">
        <f t="shared" si="13"/>
        <v>-699000000</v>
      </c>
      <c r="J124" s="11">
        <f t="shared" si="10"/>
        <v>0</v>
      </c>
      <c r="K124" s="11">
        <f t="shared" si="11"/>
        <v>-699000000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218</v>
      </c>
      <c r="H125" s="11">
        <f t="shared" si="8"/>
        <v>1</v>
      </c>
      <c r="I125" s="11">
        <f t="shared" si="13"/>
        <v>86954070</v>
      </c>
      <c r="J125" s="11">
        <f t="shared" si="10"/>
        <v>25795875</v>
      </c>
      <c r="K125" s="11">
        <f t="shared" si="11"/>
        <v>61158195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218</v>
      </c>
      <c r="H126" s="11">
        <f t="shared" si="8"/>
        <v>1</v>
      </c>
      <c r="I126" s="11">
        <f t="shared" si="13"/>
        <v>9114000000</v>
      </c>
      <c r="J126" s="11">
        <f t="shared" si="10"/>
        <v>0</v>
      </c>
      <c r="K126" s="11">
        <f t="shared" si="11"/>
        <v>9114000000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193</v>
      </c>
      <c r="H127" s="11">
        <f t="shared" si="8"/>
        <v>0</v>
      </c>
      <c r="I127" s="11">
        <f t="shared" si="13"/>
        <v>-965000</v>
      </c>
      <c r="J127" s="11">
        <f t="shared" si="10"/>
        <v>0</v>
      </c>
      <c r="K127" s="11">
        <f t="shared" si="11"/>
        <v>-965000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187</v>
      </c>
      <c r="H128" s="11">
        <f t="shared" si="8"/>
        <v>1</v>
      </c>
      <c r="I128" s="11">
        <f t="shared" si="13"/>
        <v>143475564</v>
      </c>
      <c r="J128" s="11">
        <f t="shared" si="10"/>
        <v>22449642</v>
      </c>
      <c r="K128" s="11">
        <f t="shared" si="11"/>
        <v>121025922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184</v>
      </c>
      <c r="H129" s="11">
        <f t="shared" si="8"/>
        <v>1</v>
      </c>
      <c r="I129" s="11">
        <f t="shared" si="13"/>
        <v>457500000</v>
      </c>
      <c r="J129" s="11">
        <f t="shared" si="10"/>
        <v>0</v>
      </c>
      <c r="K129" s="11">
        <f t="shared" si="11"/>
        <v>457500000</v>
      </c>
    </row>
    <row r="130" spans="1:13" x14ac:dyDescent="0.25">
      <c r="A130" s="11" t="s">
        <v>722</v>
      </c>
      <c r="B130" s="18">
        <v>-1000000</v>
      </c>
      <c r="C130" s="18">
        <v>-1000000</v>
      </c>
      <c r="D130" s="18">
        <f t="shared" si="12"/>
        <v>0</v>
      </c>
      <c r="E130" s="11" t="s">
        <v>743</v>
      </c>
      <c r="F130" s="11">
        <v>5</v>
      </c>
      <c r="G130" s="36">
        <f t="shared" si="7"/>
        <v>170</v>
      </c>
      <c r="H130" s="11">
        <f t="shared" si="8"/>
        <v>0</v>
      </c>
      <c r="I130" s="11">
        <f t="shared" si="13"/>
        <v>-170000000</v>
      </c>
      <c r="J130" s="11">
        <f t="shared" si="10"/>
        <v>-170000000</v>
      </c>
      <c r="K130" s="11">
        <f t="shared" si="11"/>
        <v>0</v>
      </c>
    </row>
    <row r="131" spans="1:13" x14ac:dyDescent="0.25">
      <c r="A131" s="11" t="s">
        <v>726</v>
      </c>
      <c r="B131" s="18">
        <v>-50000000</v>
      </c>
      <c r="C131" s="18">
        <v>0</v>
      </c>
      <c r="D131" s="18">
        <f t="shared" si="12"/>
        <v>-50000000</v>
      </c>
      <c r="E131" s="11" t="s">
        <v>727</v>
      </c>
      <c r="F131" s="11">
        <v>8</v>
      </c>
      <c r="G131" s="36">
        <f t="shared" ref="G131:G154" si="14">G132+F131</f>
        <v>165</v>
      </c>
      <c r="H131" s="11">
        <f t="shared" si="8"/>
        <v>0</v>
      </c>
      <c r="I131" s="11">
        <f t="shared" si="13"/>
        <v>-8250000000</v>
      </c>
      <c r="J131" s="11">
        <f t="shared" si="10"/>
        <v>0</v>
      </c>
      <c r="K131" s="11">
        <f t="shared" si="11"/>
        <v>-8250000000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157</v>
      </c>
      <c r="H132" s="11">
        <f t="shared" ref="H132:H155" si="15">IF(B132&gt;0,1,0)</f>
        <v>1</v>
      </c>
      <c r="I132" s="11">
        <f t="shared" si="13"/>
        <v>95828772</v>
      </c>
      <c r="J132" s="11">
        <f t="shared" ref="J132:J155" si="16">C132*(G132-H132)</f>
        <v>16531476</v>
      </c>
      <c r="K132" s="11">
        <f t="shared" ref="K132:K155" si="17">D132*(G132-H132)</f>
        <v>79297296</v>
      </c>
    </row>
    <row r="133" spans="1:13" x14ac:dyDescent="0.25">
      <c r="A133" s="11" t="s">
        <v>751</v>
      </c>
      <c r="B133" s="18">
        <v>-1210700</v>
      </c>
      <c r="C133" s="18">
        <v>0</v>
      </c>
      <c r="D133" s="18">
        <f t="shared" si="12"/>
        <v>-1210700</v>
      </c>
      <c r="E133" s="11" t="s">
        <v>752</v>
      </c>
      <c r="F133" s="11">
        <v>9</v>
      </c>
      <c r="G133" s="36">
        <f t="shared" si="14"/>
        <v>153</v>
      </c>
      <c r="H133" s="11">
        <f t="shared" si="15"/>
        <v>0</v>
      </c>
      <c r="I133" s="11">
        <f t="shared" si="13"/>
        <v>-185237100</v>
      </c>
      <c r="J133" s="11">
        <f t="shared" si="16"/>
        <v>0</v>
      </c>
      <c r="K133" s="11">
        <f t="shared" si="17"/>
        <v>-185237100</v>
      </c>
    </row>
    <row r="134" spans="1:13" x14ac:dyDescent="0.25">
      <c r="A134" s="11" t="s">
        <v>768</v>
      </c>
      <c r="B134" s="18">
        <v>-65000</v>
      </c>
      <c r="C134" s="18">
        <v>0</v>
      </c>
      <c r="D134" s="18">
        <f t="shared" si="12"/>
        <v>-65000</v>
      </c>
      <c r="E134" s="11" t="s">
        <v>771</v>
      </c>
      <c r="F134" s="11">
        <v>0</v>
      </c>
      <c r="G134" s="36">
        <f t="shared" si="14"/>
        <v>144</v>
      </c>
      <c r="H134" s="11">
        <f t="shared" si="15"/>
        <v>0</v>
      </c>
      <c r="I134" s="11">
        <f t="shared" si="13"/>
        <v>-9360000</v>
      </c>
      <c r="J134" s="11">
        <f t="shared" si="16"/>
        <v>0</v>
      </c>
      <c r="K134" s="11">
        <f t="shared" si="17"/>
        <v>-9360000</v>
      </c>
    </row>
    <row r="135" spans="1:13" x14ac:dyDescent="0.25">
      <c r="A135" s="11" t="s">
        <v>768</v>
      </c>
      <c r="B135" s="18">
        <v>-32300</v>
      </c>
      <c r="C135" s="18">
        <v>0</v>
      </c>
      <c r="D135" s="18">
        <f t="shared" si="12"/>
        <v>-32300</v>
      </c>
      <c r="E135" s="11" t="s">
        <v>772</v>
      </c>
      <c r="F135" s="11">
        <v>8</v>
      </c>
      <c r="G135" s="36">
        <f t="shared" si="14"/>
        <v>144</v>
      </c>
      <c r="H135" s="11">
        <f t="shared" si="15"/>
        <v>0</v>
      </c>
      <c r="I135" s="11">
        <f t="shared" si="13"/>
        <v>-4651200</v>
      </c>
      <c r="J135" s="11">
        <f t="shared" si="16"/>
        <v>0</v>
      </c>
      <c r="K135" s="11">
        <f t="shared" si="17"/>
        <v>-4651200</v>
      </c>
    </row>
    <row r="136" spans="1:13" x14ac:dyDescent="0.25">
      <c r="A136" s="11" t="s">
        <v>779</v>
      </c>
      <c r="B136" s="18">
        <v>-1000000</v>
      </c>
      <c r="C136" s="18">
        <v>-1000000</v>
      </c>
      <c r="D136" s="18">
        <f t="shared" si="12"/>
        <v>0</v>
      </c>
      <c r="E136" s="11" t="s">
        <v>780</v>
      </c>
      <c r="F136" s="11">
        <v>9</v>
      </c>
      <c r="G136" s="36">
        <f t="shared" si="14"/>
        <v>136</v>
      </c>
      <c r="H136" s="11">
        <f t="shared" si="15"/>
        <v>0</v>
      </c>
      <c r="I136" s="11">
        <f t="shared" si="13"/>
        <v>-136000000</v>
      </c>
      <c r="J136" s="11">
        <f t="shared" si="16"/>
        <v>-136000000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127</v>
      </c>
      <c r="H137" s="11">
        <f t="shared" si="15"/>
        <v>1</v>
      </c>
      <c r="I137" s="11">
        <f t="shared" si="13"/>
        <v>36649998</v>
      </c>
      <c r="J137" s="11">
        <f t="shared" si="16"/>
        <v>12267234</v>
      </c>
      <c r="K137" s="11">
        <f t="shared" si="17"/>
        <v>24382764</v>
      </c>
    </row>
    <row r="138" spans="1:13" x14ac:dyDescent="0.25">
      <c r="A138" s="11" t="s">
        <v>807</v>
      </c>
      <c r="B138" s="18">
        <v>-1000500</v>
      </c>
      <c r="C138" s="18">
        <v>-1000500</v>
      </c>
      <c r="D138" s="18">
        <f t="shared" si="12"/>
        <v>0</v>
      </c>
      <c r="E138" s="11" t="s">
        <v>808</v>
      </c>
      <c r="F138" s="11">
        <v>12</v>
      </c>
      <c r="G138" s="36">
        <f t="shared" si="14"/>
        <v>110</v>
      </c>
      <c r="H138" s="11">
        <f t="shared" si="15"/>
        <v>0</v>
      </c>
      <c r="I138" s="11">
        <f t="shared" si="13"/>
        <v>-110055000</v>
      </c>
      <c r="J138" s="11">
        <f t="shared" si="16"/>
        <v>-110055000</v>
      </c>
      <c r="K138" s="11">
        <f t="shared" si="17"/>
        <v>0</v>
      </c>
    </row>
    <row r="139" spans="1:13" x14ac:dyDescent="0.25">
      <c r="A139" s="11" t="s">
        <v>828</v>
      </c>
      <c r="B139" s="18">
        <v>282240</v>
      </c>
      <c r="C139" s="18">
        <v>88807</v>
      </c>
      <c r="D139" s="18">
        <f t="shared" si="12"/>
        <v>193433</v>
      </c>
      <c r="E139" s="11" t="s">
        <v>831</v>
      </c>
      <c r="F139" s="11">
        <v>3</v>
      </c>
      <c r="G139" s="36">
        <f t="shared" si="14"/>
        <v>98</v>
      </c>
      <c r="H139" s="11">
        <f t="shared" si="15"/>
        <v>1</v>
      </c>
      <c r="I139" s="11">
        <f t="shared" si="13"/>
        <v>27377280</v>
      </c>
      <c r="J139" s="11">
        <f t="shared" si="16"/>
        <v>8614279</v>
      </c>
      <c r="K139" s="11">
        <f t="shared" si="17"/>
        <v>18763001</v>
      </c>
    </row>
    <row r="140" spans="1:13" x14ac:dyDescent="0.25">
      <c r="A140" s="11" t="s">
        <v>833</v>
      </c>
      <c r="B140" s="18">
        <v>1500000</v>
      </c>
      <c r="C140" s="18">
        <v>0</v>
      </c>
      <c r="D140" s="18">
        <f t="shared" si="12"/>
        <v>1500000</v>
      </c>
      <c r="E140" s="11" t="s">
        <v>834</v>
      </c>
      <c r="F140" s="11">
        <v>13</v>
      </c>
      <c r="G140" s="36">
        <f t="shared" si="14"/>
        <v>95</v>
      </c>
      <c r="H140" s="11">
        <f t="shared" si="15"/>
        <v>1</v>
      </c>
      <c r="I140" s="11">
        <f t="shared" si="13"/>
        <v>141000000</v>
      </c>
      <c r="J140" s="11">
        <f t="shared" si="16"/>
        <v>0</v>
      </c>
      <c r="K140" s="11">
        <f t="shared" si="17"/>
        <v>141000000</v>
      </c>
    </row>
    <row r="141" spans="1:13" x14ac:dyDescent="0.25">
      <c r="A141" s="11" t="s">
        <v>856</v>
      </c>
      <c r="B141" s="18">
        <v>0</v>
      </c>
      <c r="C141" s="18">
        <v>-1000000</v>
      </c>
      <c r="D141" s="18">
        <f t="shared" si="12"/>
        <v>1000000</v>
      </c>
      <c r="E141" s="11" t="s">
        <v>855</v>
      </c>
      <c r="F141" s="11">
        <v>14</v>
      </c>
      <c r="G141" s="36">
        <f t="shared" si="14"/>
        <v>82</v>
      </c>
      <c r="H141" s="11">
        <f t="shared" si="15"/>
        <v>0</v>
      </c>
      <c r="I141" s="11">
        <f t="shared" si="13"/>
        <v>0</v>
      </c>
      <c r="J141" s="11">
        <f t="shared" si="16"/>
        <v>-82000000</v>
      </c>
      <c r="K141" s="11">
        <f t="shared" si="17"/>
        <v>82000000</v>
      </c>
    </row>
    <row r="142" spans="1:13" x14ac:dyDescent="0.25">
      <c r="A142" s="11" t="s">
        <v>869</v>
      </c>
      <c r="B142" s="18">
        <v>290893</v>
      </c>
      <c r="C142" s="18">
        <v>81022</v>
      </c>
      <c r="D142" s="18">
        <f t="shared" si="12"/>
        <v>209871</v>
      </c>
      <c r="E142" s="11" t="s">
        <v>875</v>
      </c>
      <c r="F142" s="11">
        <v>20</v>
      </c>
      <c r="G142" s="36">
        <f t="shared" si="14"/>
        <v>68</v>
      </c>
      <c r="H142" s="11">
        <f t="shared" si="15"/>
        <v>1</v>
      </c>
      <c r="I142" s="11">
        <f t="shared" si="13"/>
        <v>19489831</v>
      </c>
      <c r="J142" s="11">
        <f t="shared" si="16"/>
        <v>5428474</v>
      </c>
      <c r="K142" s="11">
        <f t="shared" si="17"/>
        <v>14061357</v>
      </c>
    </row>
    <row r="143" spans="1:13" x14ac:dyDescent="0.25">
      <c r="A143" s="11" t="s">
        <v>898</v>
      </c>
      <c r="B143" s="18">
        <v>0</v>
      </c>
      <c r="C143" s="18">
        <v>-1000000</v>
      </c>
      <c r="D143" s="18">
        <f t="shared" si="12"/>
        <v>1000000</v>
      </c>
      <c r="E143" s="11" t="s">
        <v>902</v>
      </c>
      <c r="F143" s="11">
        <v>10</v>
      </c>
      <c r="G143" s="36">
        <f t="shared" si="14"/>
        <v>48</v>
      </c>
      <c r="H143" s="11">
        <f t="shared" si="15"/>
        <v>0</v>
      </c>
      <c r="I143" s="11">
        <f t="shared" si="13"/>
        <v>0</v>
      </c>
      <c r="J143" s="11">
        <f t="shared" si="16"/>
        <v>-48000000</v>
      </c>
      <c r="K143" s="11">
        <f t="shared" si="17"/>
        <v>48000000</v>
      </c>
      <c r="M143" t="s">
        <v>25</v>
      </c>
    </row>
    <row r="144" spans="1:13" x14ac:dyDescent="0.25">
      <c r="A144" s="11" t="s">
        <v>907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38</v>
      </c>
      <c r="H144" s="11">
        <f t="shared" si="15"/>
        <v>1</v>
      </c>
      <c r="I144" s="11">
        <f t="shared" si="13"/>
        <v>10909524</v>
      </c>
      <c r="J144" s="11">
        <f t="shared" si="16"/>
        <v>2762309</v>
      </c>
      <c r="K144" s="11">
        <f t="shared" si="17"/>
        <v>8147215</v>
      </c>
    </row>
    <row r="145" spans="1:11" x14ac:dyDescent="0.25">
      <c r="A145" s="11" t="s">
        <v>932</v>
      </c>
      <c r="B145" s="18">
        <v>-10000</v>
      </c>
      <c r="C145" s="18">
        <v>-5000</v>
      </c>
      <c r="D145" s="18">
        <f t="shared" si="12"/>
        <v>-5000</v>
      </c>
      <c r="E145" s="74" t="s">
        <v>938</v>
      </c>
      <c r="F145" s="11">
        <v>5</v>
      </c>
      <c r="G145" s="36">
        <f t="shared" si="14"/>
        <v>23</v>
      </c>
      <c r="H145" s="11">
        <f t="shared" si="15"/>
        <v>0</v>
      </c>
      <c r="I145" s="11">
        <f t="shared" si="13"/>
        <v>-230000</v>
      </c>
      <c r="J145" s="11">
        <f t="shared" si="16"/>
        <v>-115000</v>
      </c>
      <c r="K145" s="11">
        <f t="shared" si="17"/>
        <v>-115000</v>
      </c>
    </row>
    <row r="146" spans="1:11" x14ac:dyDescent="0.25">
      <c r="A146" s="11" t="s">
        <v>918</v>
      </c>
      <c r="B146" s="18">
        <v>-1000500</v>
      </c>
      <c r="C146" s="18">
        <v>-1000500</v>
      </c>
      <c r="D146" s="18">
        <f t="shared" si="12"/>
        <v>0</v>
      </c>
      <c r="E146" s="11" t="s">
        <v>919</v>
      </c>
      <c r="F146" s="11">
        <v>6</v>
      </c>
      <c r="G146" s="36">
        <f t="shared" si="14"/>
        <v>18</v>
      </c>
      <c r="H146" s="11">
        <f t="shared" si="15"/>
        <v>0</v>
      </c>
      <c r="I146" s="11">
        <f t="shared" si="13"/>
        <v>-18009000</v>
      </c>
      <c r="J146" s="11">
        <f t="shared" si="16"/>
        <v>-18009000</v>
      </c>
      <c r="K146" s="11">
        <f t="shared" si="17"/>
        <v>0</v>
      </c>
    </row>
    <row r="147" spans="1:11" x14ac:dyDescent="0.25">
      <c r="A147" s="11" t="s">
        <v>959</v>
      </c>
      <c r="B147" s="18">
        <v>-27000000</v>
      </c>
      <c r="C147" s="18">
        <v>0</v>
      </c>
      <c r="D147" s="18">
        <f t="shared" si="12"/>
        <v>-27000000</v>
      </c>
      <c r="E147" s="11" t="s">
        <v>1043</v>
      </c>
      <c r="F147" s="11">
        <v>3</v>
      </c>
      <c r="G147" s="36">
        <f t="shared" si="14"/>
        <v>12</v>
      </c>
      <c r="H147" s="11">
        <f t="shared" si="15"/>
        <v>0</v>
      </c>
      <c r="I147" s="11">
        <f t="shared" si="13"/>
        <v>-324000000</v>
      </c>
      <c r="J147" s="11">
        <f t="shared" si="16"/>
        <v>0</v>
      </c>
      <c r="K147" s="11">
        <f t="shared" si="17"/>
        <v>-324000000</v>
      </c>
    </row>
    <row r="148" spans="1:11" x14ac:dyDescent="0.25">
      <c r="A148" s="11" t="s">
        <v>1071</v>
      </c>
      <c r="B148" s="18">
        <v>252436</v>
      </c>
      <c r="C148" s="18">
        <v>65510</v>
      </c>
      <c r="D148" s="18">
        <f t="shared" si="12"/>
        <v>186926</v>
      </c>
      <c r="E148" s="11" t="s">
        <v>1073</v>
      </c>
      <c r="F148" s="11">
        <v>8</v>
      </c>
      <c r="G148" s="36">
        <f t="shared" si="14"/>
        <v>9</v>
      </c>
      <c r="H148" s="11">
        <f t="shared" si="15"/>
        <v>1</v>
      </c>
      <c r="I148" s="11">
        <f t="shared" si="13"/>
        <v>2019488</v>
      </c>
      <c r="J148" s="11">
        <f t="shared" si="16"/>
        <v>524080</v>
      </c>
      <c r="K148" s="11">
        <f t="shared" si="17"/>
        <v>1495408</v>
      </c>
    </row>
    <row r="149" spans="1:11" x14ac:dyDescent="0.25">
      <c r="A149" s="11" t="s">
        <v>1111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1112</v>
      </c>
      <c r="F149" s="11">
        <v>1</v>
      </c>
      <c r="G149" s="36">
        <f t="shared" si="14"/>
        <v>1</v>
      </c>
      <c r="H149" s="11">
        <f t="shared" si="15"/>
        <v>1</v>
      </c>
      <c r="I149" s="11">
        <f t="shared" si="13"/>
        <v>0</v>
      </c>
      <c r="J149" s="11">
        <f t="shared" si="16"/>
        <v>0</v>
      </c>
      <c r="K149" s="11">
        <f t="shared" si="17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4"/>
        <v>0</v>
      </c>
      <c r="H150" s="11">
        <f t="shared" si="15"/>
        <v>0</v>
      </c>
      <c r="I150" s="11">
        <f t="shared" si="13"/>
        <v>0</v>
      </c>
      <c r="J150" s="11">
        <f t="shared" si="16"/>
        <v>0</v>
      </c>
      <c r="K150" s="11">
        <f t="shared" si="17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4"/>
        <v>0</v>
      </c>
      <c r="H151" s="11">
        <f t="shared" si="15"/>
        <v>0</v>
      </c>
      <c r="I151" s="11">
        <f t="shared" si="13"/>
        <v>0</v>
      </c>
      <c r="J151" s="11">
        <f t="shared" si="16"/>
        <v>0</v>
      </c>
      <c r="K151" s="11">
        <f t="shared" si="17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4"/>
        <v>0</v>
      </c>
      <c r="H152" s="11">
        <f t="shared" si="15"/>
        <v>0</v>
      </c>
      <c r="I152" s="11">
        <f t="shared" si="13"/>
        <v>0</v>
      </c>
      <c r="J152" s="11">
        <f t="shared" si="16"/>
        <v>0</v>
      </c>
      <c r="K152" s="11">
        <f t="shared" si="17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60810063</v>
      </c>
      <c r="C156" s="29">
        <f>SUM(C2:C154)</f>
        <v>7551324</v>
      </c>
      <c r="D156" s="29">
        <f>SUM(D2:D154)</f>
        <v>53258739</v>
      </c>
      <c r="E156" s="11"/>
      <c r="F156" s="11"/>
      <c r="G156" s="11"/>
      <c r="H156" s="11"/>
      <c r="I156" s="29">
        <f>SUM(I2:I155)</f>
        <v>18185731970</v>
      </c>
      <c r="J156" s="29">
        <f>SUM(J2:J155)</f>
        <v>6793454239</v>
      </c>
      <c r="K156" s="29">
        <f>SUM(K2:K155)</f>
        <v>11392277731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25328317.506963789</v>
      </c>
      <c r="J159" s="29">
        <f>J156/G2</f>
        <v>9461635.4303621165</v>
      </c>
      <c r="K159" s="29">
        <f>K156/G2</f>
        <v>15866682.076601671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874</v>
      </c>
      <c r="G163" t="s">
        <v>25</v>
      </c>
      <c r="J163">
        <f>J156/I156*1448696</f>
        <v>541174.25674465962</v>
      </c>
      <c r="K163">
        <f>K156/I156*1448696</f>
        <v>907521.74325534049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722</v>
      </c>
      <c r="B5" s="18">
        <v>-1000000</v>
      </c>
      <c r="C5" s="18">
        <v>-1000000</v>
      </c>
      <c r="D5" s="3">
        <f t="shared" si="0"/>
        <v>0</v>
      </c>
      <c r="E5" s="20" t="s">
        <v>743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726</v>
      </c>
      <c r="B6" s="18">
        <v>-50000000</v>
      </c>
      <c r="C6" s="18">
        <v>0</v>
      </c>
      <c r="D6" s="3">
        <f t="shared" si="0"/>
        <v>-50000000</v>
      </c>
      <c r="E6" s="19" t="s">
        <v>727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737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751</v>
      </c>
      <c r="B4" s="18">
        <v>-1210700</v>
      </c>
      <c r="C4" s="18">
        <v>0</v>
      </c>
      <c r="D4" s="3">
        <f t="shared" si="0"/>
        <v>-1210700</v>
      </c>
      <c r="E4" s="11" t="s">
        <v>752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-97300</v>
      </c>
      <c r="C5" s="18">
        <v>0</v>
      </c>
      <c r="D5" s="3">
        <f t="shared" si="0"/>
        <v>-97300</v>
      </c>
      <c r="E5" s="20" t="s">
        <v>773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-1000000</v>
      </c>
      <c r="C6" s="18">
        <v>-1000000</v>
      </c>
      <c r="D6" s="3">
        <f t="shared" si="0"/>
        <v>0</v>
      </c>
      <c r="E6" s="19" t="s">
        <v>780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753</v>
      </c>
      <c r="G31" s="9" t="s">
        <v>783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763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774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776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807</v>
      </c>
      <c r="B4" s="18">
        <v>-1000500</v>
      </c>
      <c r="C4" s="18">
        <v>-1000500</v>
      </c>
      <c r="D4" s="3">
        <f t="shared" si="0"/>
        <v>0</v>
      </c>
      <c r="E4" s="11" t="s">
        <v>808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828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833</v>
      </c>
      <c r="B3" s="18">
        <v>1500000</v>
      </c>
      <c r="C3" s="18">
        <v>0</v>
      </c>
      <c r="D3" s="43">
        <f t="shared" ref="D3:D22" si="0">B3-C3</f>
        <v>1500000</v>
      </c>
      <c r="E3" s="20" t="s">
        <v>834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854</v>
      </c>
      <c r="B4" s="18">
        <v>0</v>
      </c>
      <c r="C4" s="18">
        <v>-1000000</v>
      </c>
      <c r="D4" s="3">
        <f t="shared" si="0"/>
        <v>1000000</v>
      </c>
      <c r="E4" s="11" t="s">
        <v>855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869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842</v>
      </c>
      <c r="G31" s="9" t="s">
        <v>909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843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850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852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853</v>
      </c>
    </row>
    <row r="36" spans="4:17" x14ac:dyDescent="0.25">
      <c r="D36" s="42">
        <v>-10000</v>
      </c>
      <c r="E36" s="41" t="s">
        <v>863</v>
      </c>
    </row>
    <row r="37" spans="4:17" x14ac:dyDescent="0.25">
      <c r="D37" s="7">
        <v>-180000</v>
      </c>
      <c r="E37" s="41" t="s">
        <v>868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6" activePane="bottomLeft" state="frozen"/>
      <selection pane="bottomLeft" activeCell="D113" sqref="D113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484</v>
      </c>
      <c r="F2" s="11">
        <f>IF(B2&gt;0,1,0)</f>
        <v>1</v>
      </c>
      <c r="G2" s="11">
        <f>B2*(E2-F2)</f>
        <v>24150000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480</v>
      </c>
      <c r="F3" s="11">
        <f t="shared" ref="F3:F38" si="1">IF(B3&gt;0,1,0)</f>
        <v>1</v>
      </c>
      <c r="G3" s="11">
        <f t="shared" ref="G3:G23" si="2">B3*(E3-F3)</f>
        <v>1437000000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479</v>
      </c>
      <c r="F4" s="11">
        <f t="shared" si="1"/>
        <v>1</v>
      </c>
      <c r="G4" s="11">
        <f t="shared" si="2"/>
        <v>1434000000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479</v>
      </c>
      <c r="F5" s="11">
        <f t="shared" si="1"/>
        <v>1</v>
      </c>
      <c r="G5" s="11">
        <f t="shared" si="2"/>
        <v>7170000000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478</v>
      </c>
      <c r="F6" s="11">
        <f t="shared" si="1"/>
        <v>1</v>
      </c>
      <c r="G6" s="11">
        <f t="shared" si="2"/>
        <v>1431000000</v>
      </c>
      <c r="K6" t="s">
        <v>288</v>
      </c>
      <c r="L6" s="34">
        <v>410023079974</v>
      </c>
      <c r="M6" s="33" t="s">
        <v>872</v>
      </c>
      <c r="N6" t="s">
        <v>1104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477</v>
      </c>
      <c r="F7" s="11">
        <f t="shared" si="1"/>
        <v>0</v>
      </c>
      <c r="G7" s="11">
        <f t="shared" si="2"/>
        <v>-1431000000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477</v>
      </c>
      <c r="F8" s="11">
        <f t="shared" si="1"/>
        <v>0</v>
      </c>
      <c r="G8" s="11">
        <f t="shared" si="2"/>
        <v>-95400000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477</v>
      </c>
      <c r="F9" s="11">
        <f t="shared" si="1"/>
        <v>1</v>
      </c>
      <c r="G9" s="11">
        <f>B9*(E9-F9)</f>
        <v>1428000000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476</v>
      </c>
      <c r="F10" s="11">
        <f t="shared" si="1"/>
        <v>1</v>
      </c>
      <c r="G10" s="11">
        <f t="shared" si="2"/>
        <v>1425000000</v>
      </c>
      <c r="K10" t="s">
        <v>1105</v>
      </c>
      <c r="L10" s="34">
        <v>410021484671</v>
      </c>
      <c r="M10" s="33" t="s">
        <v>1106</v>
      </c>
      <c r="N10" t="s">
        <v>1109</v>
      </c>
      <c r="O10" t="s">
        <v>1110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476</v>
      </c>
      <c r="F11" s="11">
        <f t="shared" si="1"/>
        <v>1</v>
      </c>
      <c r="G11" s="11">
        <f t="shared" si="2"/>
        <v>11875000000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473</v>
      </c>
      <c r="F12" s="11">
        <f t="shared" si="1"/>
        <v>1</v>
      </c>
      <c r="G12" s="11">
        <f t="shared" si="2"/>
        <v>471211760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473</v>
      </c>
      <c r="F13" s="11">
        <f t="shared" si="1"/>
        <v>1</v>
      </c>
      <c r="G13" s="11">
        <f t="shared" si="2"/>
        <v>1416000000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473</v>
      </c>
      <c r="F14" s="11">
        <f t="shared" si="1"/>
        <v>1</v>
      </c>
      <c r="G14" s="11">
        <f t="shared" si="2"/>
        <v>562197312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461</v>
      </c>
      <c r="F15" s="11">
        <f t="shared" si="1"/>
        <v>1</v>
      </c>
      <c r="G15" s="11">
        <f t="shared" si="2"/>
        <v>920000000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449</v>
      </c>
      <c r="F16" s="11">
        <f t="shared" si="1"/>
        <v>1</v>
      </c>
      <c r="G16" s="11">
        <f t="shared" si="2"/>
        <v>1344000000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448</v>
      </c>
      <c r="F17" s="11">
        <f t="shared" si="1"/>
        <v>1</v>
      </c>
      <c r="G17" s="11">
        <f t="shared" si="2"/>
        <v>1341000000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447</v>
      </c>
      <c r="F18" s="11">
        <f t="shared" si="1"/>
        <v>1</v>
      </c>
      <c r="G18" s="11">
        <f t="shared" si="2"/>
        <v>847400000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432</v>
      </c>
      <c r="F19" s="11">
        <f t="shared" si="1"/>
        <v>1</v>
      </c>
      <c r="G19" s="11">
        <f t="shared" si="2"/>
        <v>346745103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431</v>
      </c>
      <c r="F20" s="11">
        <f t="shared" si="1"/>
        <v>1</v>
      </c>
      <c r="G20" s="11">
        <f t="shared" si="2"/>
        <v>1290000000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425</v>
      </c>
      <c r="F21" s="11">
        <f t="shared" si="1"/>
        <v>1</v>
      </c>
      <c r="G21" s="11">
        <f t="shared" si="2"/>
        <v>212000000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411</v>
      </c>
      <c r="F22" s="11">
        <f t="shared" si="1"/>
        <v>0</v>
      </c>
      <c r="G22" s="11">
        <f t="shared" si="2"/>
        <v>-1233000000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403</v>
      </c>
      <c r="F23" s="11">
        <f t="shared" si="1"/>
        <v>1</v>
      </c>
      <c r="G23" s="11">
        <f t="shared" si="2"/>
        <v>1206000000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403</v>
      </c>
      <c r="F24" s="11">
        <f t="shared" si="1"/>
        <v>1</v>
      </c>
      <c r="G24" s="11">
        <f>B24*(E24-F24)</f>
        <v>253598886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401</v>
      </c>
      <c r="F25" s="11">
        <f t="shared" si="1"/>
        <v>0</v>
      </c>
      <c r="G25" s="11">
        <f t="shared" ref="G25:G30" si="3">B25*(E25-F25)</f>
        <v>-1283560900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399</v>
      </c>
      <c r="F26" s="11">
        <f t="shared" si="1"/>
        <v>0</v>
      </c>
      <c r="G26" s="11">
        <f t="shared" si="3"/>
        <v>-1197359100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397</v>
      </c>
      <c r="F27" s="11">
        <f t="shared" si="1"/>
        <v>1</v>
      </c>
      <c r="G27" s="11">
        <f t="shared" si="3"/>
        <v>396000000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397</v>
      </c>
      <c r="F28" s="11">
        <f t="shared" si="1"/>
        <v>1</v>
      </c>
      <c r="G28" s="11">
        <f t="shared" si="3"/>
        <v>2376000000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397</v>
      </c>
      <c r="F29" s="11">
        <f t="shared" si="1"/>
        <v>1</v>
      </c>
      <c r="G29" s="11">
        <f t="shared" si="3"/>
        <v>2296800000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397</v>
      </c>
      <c r="F30" s="11">
        <f t="shared" si="1"/>
        <v>0</v>
      </c>
      <c r="G30" s="11">
        <f t="shared" si="3"/>
        <v>-1985000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396</v>
      </c>
      <c r="F31" s="11">
        <f t="shared" si="1"/>
        <v>0</v>
      </c>
      <c r="G31" s="11">
        <f>B31*(E31-F31)</f>
        <v>-10296000000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394</v>
      </c>
      <c r="F32" s="11">
        <f t="shared" si="1"/>
        <v>0</v>
      </c>
      <c r="G32" s="11">
        <f>B32*(E32-F32)</f>
        <v>-10322800000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375</v>
      </c>
      <c r="F33" s="11">
        <f t="shared" si="1"/>
        <v>1</v>
      </c>
      <c r="G33" s="11">
        <f>B33*(E33-F33)</f>
        <v>122299870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357</v>
      </c>
      <c r="F34" s="11">
        <f t="shared" si="1"/>
        <v>1</v>
      </c>
      <c r="G34" s="11">
        <f t="shared" ref="G34:G126" si="4">B34*(E34-F34)</f>
        <v>10110400000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357</v>
      </c>
      <c r="F35" s="11">
        <f t="shared" si="1"/>
        <v>1</v>
      </c>
      <c r="G35" s="12">
        <f t="shared" si="4"/>
        <v>3916000000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342</v>
      </c>
      <c r="F36" s="11">
        <f t="shared" si="1"/>
        <v>1</v>
      </c>
      <c r="G36" s="11">
        <f t="shared" si="4"/>
        <v>142777041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342</v>
      </c>
      <c r="F37" s="11">
        <f t="shared" si="1"/>
        <v>0</v>
      </c>
      <c r="G37" s="11">
        <f t="shared" si="4"/>
        <v>-307800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341</v>
      </c>
      <c r="F38" s="11">
        <f t="shared" si="1"/>
        <v>1</v>
      </c>
      <c r="G38" s="12">
        <f t="shared" si="4"/>
        <v>680000000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341</v>
      </c>
      <c r="F39" s="11">
        <f>IF(B39&gt;0,1,0)</f>
        <v>1</v>
      </c>
      <c r="G39" s="11">
        <f t="shared" si="4"/>
        <v>680000000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327</v>
      </c>
      <c r="F40" s="11">
        <f>IF(B40&gt;0,1,0)</f>
        <v>0</v>
      </c>
      <c r="G40" s="11">
        <f t="shared" si="4"/>
        <v>-65400000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327</v>
      </c>
      <c r="F41" s="11">
        <f>IF(B41&gt;0,1,0)</f>
        <v>0</v>
      </c>
      <c r="G41" s="11">
        <f t="shared" si="4"/>
        <v>-202740000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327</v>
      </c>
      <c r="F42" s="11">
        <f t="shared" ref="F42:F126" si="5">IF(B42&gt;0,1,0)</f>
        <v>0</v>
      </c>
      <c r="G42" s="11">
        <f t="shared" si="4"/>
        <v>-39240000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325</v>
      </c>
      <c r="F43" s="11">
        <f t="shared" si="5"/>
        <v>1</v>
      </c>
      <c r="G43" s="11">
        <f t="shared" si="4"/>
        <v>210600000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325</v>
      </c>
      <c r="F44" s="11">
        <f t="shared" si="5"/>
        <v>0</v>
      </c>
      <c r="G44" s="11">
        <f t="shared" si="4"/>
        <v>-1625000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325</v>
      </c>
      <c r="F45" s="11">
        <f t="shared" si="5"/>
        <v>1</v>
      </c>
      <c r="G45" s="11">
        <f t="shared" si="4"/>
        <v>9396000000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321</v>
      </c>
      <c r="F46" s="11">
        <f t="shared" si="5"/>
        <v>0</v>
      </c>
      <c r="G46" s="11">
        <f t="shared" si="4"/>
        <v>-64200000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318</v>
      </c>
      <c r="F47" s="11">
        <f t="shared" si="5"/>
        <v>0</v>
      </c>
      <c r="G47" s="11">
        <f t="shared" si="4"/>
        <v>-63600000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317</v>
      </c>
      <c r="F48" s="11">
        <f t="shared" si="5"/>
        <v>0</v>
      </c>
      <c r="G48" s="11">
        <f t="shared" si="4"/>
        <v>-63400000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312</v>
      </c>
      <c r="F49" s="11">
        <f t="shared" si="5"/>
        <v>1</v>
      </c>
      <c r="G49" s="11">
        <f t="shared" si="4"/>
        <v>933000000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312</v>
      </c>
      <c r="F50" s="11">
        <f t="shared" si="5"/>
        <v>1</v>
      </c>
      <c r="G50" s="12">
        <f t="shared" si="4"/>
        <v>933000000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311</v>
      </c>
      <c r="F51" s="11">
        <f t="shared" si="5"/>
        <v>1</v>
      </c>
      <c r="G51" s="11">
        <f t="shared" si="4"/>
        <v>237397070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311</v>
      </c>
      <c r="F52" s="11">
        <f t="shared" si="5"/>
        <v>0</v>
      </c>
      <c r="G52" s="11">
        <f t="shared" si="4"/>
        <v>-62200000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304</v>
      </c>
      <c r="F53" s="11">
        <f t="shared" si="5"/>
        <v>0</v>
      </c>
      <c r="G53" s="11">
        <f t="shared" si="4"/>
        <v>-121752000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295</v>
      </c>
      <c r="F54" s="11">
        <f t="shared" si="5"/>
        <v>0</v>
      </c>
      <c r="G54" s="11">
        <f t="shared" si="4"/>
        <v>-295116820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289</v>
      </c>
      <c r="F55" s="11">
        <f t="shared" si="5"/>
        <v>0</v>
      </c>
      <c r="G55" s="11">
        <f t="shared" si="4"/>
        <v>-11560000000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280</v>
      </c>
      <c r="F56" s="11">
        <f t="shared" si="5"/>
        <v>1</v>
      </c>
      <c r="G56" s="11">
        <f t="shared" si="4"/>
        <v>241516908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253</v>
      </c>
      <c r="F57" s="11">
        <f t="shared" si="5"/>
        <v>0</v>
      </c>
      <c r="G57" s="11">
        <f t="shared" si="4"/>
        <v>-12700600000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252</v>
      </c>
      <c r="F58" s="11">
        <f t="shared" si="5"/>
        <v>0</v>
      </c>
      <c r="G58" s="11">
        <f t="shared" si="4"/>
        <v>-3074526000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249</v>
      </c>
      <c r="F59" s="11">
        <f t="shared" si="5"/>
        <v>1</v>
      </c>
      <c r="G59" s="11">
        <f t="shared" si="4"/>
        <v>132656688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248</v>
      </c>
      <c r="F60" s="11">
        <f t="shared" si="5"/>
        <v>0</v>
      </c>
      <c r="G60" s="11">
        <f t="shared" si="4"/>
        <v>-83824000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246</v>
      </c>
      <c r="F61" s="11">
        <f t="shared" si="5"/>
        <v>0</v>
      </c>
      <c r="G61" s="11">
        <f t="shared" si="4"/>
        <v>-36900000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242</v>
      </c>
      <c r="F62" s="11">
        <f t="shared" si="5"/>
        <v>0</v>
      </c>
      <c r="G62" s="11">
        <f t="shared" si="4"/>
        <v>-24200000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238</v>
      </c>
      <c r="F63" s="11">
        <f t="shared" si="5"/>
        <v>0</v>
      </c>
      <c r="G63" s="11">
        <f t="shared" si="4"/>
        <v>-47600000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238</v>
      </c>
      <c r="F64" s="11">
        <f t="shared" si="5"/>
        <v>0</v>
      </c>
      <c r="G64" s="11">
        <f t="shared" si="4"/>
        <v>-20706000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234</v>
      </c>
      <c r="F65" s="11">
        <f t="shared" si="5"/>
        <v>0</v>
      </c>
      <c r="G65" s="11">
        <f t="shared" si="4"/>
        <v>-6427980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233</v>
      </c>
      <c r="F66" s="11">
        <f t="shared" si="5"/>
        <v>0</v>
      </c>
      <c r="G66" s="11">
        <f t="shared" si="4"/>
        <v>-77822000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228</v>
      </c>
      <c r="F67" s="11">
        <f t="shared" si="5"/>
        <v>0</v>
      </c>
      <c r="G67" s="11">
        <f t="shared" si="4"/>
        <v>-4560000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227</v>
      </c>
      <c r="F68" s="11">
        <f t="shared" si="5"/>
        <v>0</v>
      </c>
      <c r="G68" s="11">
        <f t="shared" si="4"/>
        <v>-68213500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227</v>
      </c>
      <c r="F69" s="11">
        <f t="shared" si="5"/>
        <v>0</v>
      </c>
      <c r="G69" s="11">
        <f t="shared" si="4"/>
        <v>-22700000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222</v>
      </c>
      <c r="F70" s="11">
        <f t="shared" si="5"/>
        <v>0</v>
      </c>
      <c r="G70" s="11">
        <f t="shared" si="4"/>
        <v>-44400000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218</v>
      </c>
      <c r="F71" s="11">
        <f t="shared" si="5"/>
        <v>1</v>
      </c>
      <c r="G71" s="11">
        <f t="shared" si="4"/>
        <v>3339413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218</v>
      </c>
      <c r="F72" s="11">
        <f t="shared" si="5"/>
        <v>1</v>
      </c>
      <c r="G72" s="11">
        <f t="shared" si="4"/>
        <v>868000000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218</v>
      </c>
      <c r="F73" s="11">
        <f t="shared" si="5"/>
        <v>1</v>
      </c>
      <c r="G73" s="11">
        <f t="shared" si="4"/>
        <v>564200000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218</v>
      </c>
      <c r="F74" s="11">
        <f t="shared" si="5"/>
        <v>1</v>
      </c>
      <c r="G74" s="11">
        <f t="shared" si="4"/>
        <v>651000000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215</v>
      </c>
      <c r="F75" s="11">
        <f t="shared" si="5"/>
        <v>0</v>
      </c>
      <c r="G75" s="11">
        <f t="shared" si="4"/>
        <v>-43000000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212</v>
      </c>
      <c r="F76" s="11">
        <f t="shared" si="5"/>
        <v>0</v>
      </c>
      <c r="G76" s="11">
        <f t="shared" si="4"/>
        <v>-424148400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212</v>
      </c>
      <c r="F77" s="11">
        <f t="shared" si="5"/>
        <v>0</v>
      </c>
      <c r="G77" s="11">
        <f t="shared" si="4"/>
        <v>-42400000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208</v>
      </c>
      <c r="F78" s="11">
        <f t="shared" si="5"/>
        <v>1</v>
      </c>
      <c r="G78" s="11">
        <f t="shared" si="4"/>
        <v>414000000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200</v>
      </c>
      <c r="F79" s="11">
        <f t="shared" si="5"/>
        <v>0</v>
      </c>
      <c r="G79" s="11">
        <f t="shared" si="4"/>
        <v>-200100000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200</v>
      </c>
      <c r="F80" s="11">
        <f t="shared" si="5"/>
        <v>0</v>
      </c>
      <c r="G80" s="11">
        <f t="shared" si="4"/>
        <v>-28390000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197</v>
      </c>
      <c r="F81" s="11">
        <f t="shared" si="5"/>
        <v>0</v>
      </c>
      <c r="G81" s="11">
        <f t="shared" si="4"/>
        <v>-177398500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187</v>
      </c>
      <c r="F82" s="11">
        <f t="shared" si="5"/>
        <v>1</v>
      </c>
      <c r="G82" s="11">
        <f t="shared" si="4"/>
        <v>15112686</v>
      </c>
    </row>
    <row r="83" spans="1:7" x14ac:dyDescent="0.25">
      <c r="A83" s="11" t="s">
        <v>726</v>
      </c>
      <c r="B83" s="38">
        <v>50000000</v>
      </c>
      <c r="C83" s="11" t="s">
        <v>729</v>
      </c>
      <c r="D83" s="11">
        <v>1</v>
      </c>
      <c r="E83" s="11">
        <f t="shared" si="6"/>
        <v>165</v>
      </c>
      <c r="F83" s="11">
        <f t="shared" si="5"/>
        <v>1</v>
      </c>
      <c r="G83" s="11">
        <f t="shared" si="4"/>
        <v>8200000000</v>
      </c>
    </row>
    <row r="84" spans="1:7" x14ac:dyDescent="0.25">
      <c r="A84" s="11" t="s">
        <v>724</v>
      </c>
      <c r="B84" s="38">
        <v>30000000</v>
      </c>
      <c r="C84" s="11" t="s">
        <v>730</v>
      </c>
      <c r="D84" s="11">
        <v>0</v>
      </c>
      <c r="E84" s="11">
        <f t="shared" si="6"/>
        <v>164</v>
      </c>
      <c r="F84" s="11">
        <f t="shared" si="5"/>
        <v>1</v>
      </c>
      <c r="G84" s="11">
        <f t="shared" si="4"/>
        <v>4890000000</v>
      </c>
    </row>
    <row r="85" spans="1:7" x14ac:dyDescent="0.25">
      <c r="A85" s="11" t="s">
        <v>724</v>
      </c>
      <c r="B85" s="38">
        <v>-72500000</v>
      </c>
      <c r="C85" s="11" t="s">
        <v>731</v>
      </c>
      <c r="D85" s="11">
        <v>1</v>
      </c>
      <c r="E85" s="11">
        <f t="shared" si="6"/>
        <v>164</v>
      </c>
      <c r="F85" s="11">
        <f t="shared" si="5"/>
        <v>0</v>
      </c>
      <c r="G85" s="11">
        <f t="shared" si="4"/>
        <v>-11890000000</v>
      </c>
    </row>
    <row r="86" spans="1:7" x14ac:dyDescent="0.25">
      <c r="A86" s="11" t="s">
        <v>732</v>
      </c>
      <c r="B86" s="38">
        <v>-281000</v>
      </c>
      <c r="C86" s="11" t="s">
        <v>744</v>
      </c>
      <c r="D86" s="11">
        <v>5</v>
      </c>
      <c r="E86" s="11">
        <f t="shared" si="6"/>
        <v>163</v>
      </c>
      <c r="F86" s="11">
        <f t="shared" si="5"/>
        <v>0</v>
      </c>
      <c r="G86" s="11">
        <f t="shared" si="4"/>
        <v>-45803000</v>
      </c>
    </row>
    <row r="87" spans="1:7" x14ac:dyDescent="0.25">
      <c r="A87" s="11" t="s">
        <v>737</v>
      </c>
      <c r="B87" s="38">
        <v>2500000</v>
      </c>
      <c r="C87" s="11" t="s">
        <v>741</v>
      </c>
      <c r="D87" s="11">
        <v>1</v>
      </c>
      <c r="E87" s="11">
        <f t="shared" si="6"/>
        <v>158</v>
      </c>
      <c r="F87" s="11">
        <f t="shared" si="5"/>
        <v>1</v>
      </c>
      <c r="G87" s="11">
        <f t="shared" si="4"/>
        <v>392500000</v>
      </c>
    </row>
    <row r="88" spans="1:7" x14ac:dyDescent="0.25">
      <c r="A88" s="11" t="s">
        <v>632</v>
      </c>
      <c r="B88" s="38">
        <v>78340</v>
      </c>
      <c r="C88" s="11" t="s">
        <v>742</v>
      </c>
      <c r="D88" s="11">
        <v>5</v>
      </c>
      <c r="E88" s="11">
        <f t="shared" si="6"/>
        <v>157</v>
      </c>
      <c r="F88" s="11">
        <f t="shared" si="5"/>
        <v>1</v>
      </c>
      <c r="G88" s="11">
        <f t="shared" si="4"/>
        <v>12221040</v>
      </c>
    </row>
    <row r="89" spans="1:7" x14ac:dyDescent="0.25">
      <c r="A89" s="11" t="s">
        <v>749</v>
      </c>
      <c r="B89" s="38">
        <v>15000000</v>
      </c>
      <c r="C89" s="11" t="s">
        <v>750</v>
      </c>
      <c r="D89" s="11">
        <v>25</v>
      </c>
      <c r="E89" s="11">
        <f t="shared" si="6"/>
        <v>152</v>
      </c>
      <c r="F89" s="11">
        <f t="shared" si="5"/>
        <v>1</v>
      </c>
      <c r="G89" s="11">
        <f t="shared" si="4"/>
        <v>2265000000</v>
      </c>
    </row>
    <row r="90" spans="1:7" x14ac:dyDescent="0.25">
      <c r="A90" s="11" t="s">
        <v>633</v>
      </c>
      <c r="B90" s="38">
        <v>244846</v>
      </c>
      <c r="C90" s="11" t="s">
        <v>784</v>
      </c>
      <c r="D90" s="11">
        <v>29</v>
      </c>
      <c r="E90" s="11">
        <f t="shared" si="6"/>
        <v>127</v>
      </c>
      <c r="F90" s="11">
        <f t="shared" si="5"/>
        <v>1</v>
      </c>
      <c r="G90" s="11">
        <f t="shared" si="4"/>
        <v>30850596</v>
      </c>
    </row>
    <row r="91" spans="1:7" x14ac:dyDescent="0.25">
      <c r="A91" s="11" t="s">
        <v>828</v>
      </c>
      <c r="B91" s="38">
        <v>272155</v>
      </c>
      <c r="C91" s="11" t="s">
        <v>830</v>
      </c>
      <c r="D91" s="11">
        <v>30</v>
      </c>
      <c r="E91" s="11">
        <f t="shared" si="6"/>
        <v>98</v>
      </c>
      <c r="F91" s="11">
        <f t="shared" si="5"/>
        <v>1</v>
      </c>
      <c r="G91" s="11">
        <f t="shared" si="4"/>
        <v>26399035</v>
      </c>
    </row>
    <row r="92" spans="1:7" x14ac:dyDescent="0.25">
      <c r="A92" s="11" t="s">
        <v>869</v>
      </c>
      <c r="B92" s="38">
        <v>3000000</v>
      </c>
      <c r="C92" s="11" t="s">
        <v>871</v>
      </c>
      <c r="D92" s="11">
        <v>0</v>
      </c>
      <c r="E92" s="11">
        <f t="shared" si="6"/>
        <v>68</v>
      </c>
      <c r="F92" s="11">
        <f t="shared" si="5"/>
        <v>1</v>
      </c>
      <c r="G92" s="11">
        <f t="shared" si="4"/>
        <v>201000000</v>
      </c>
    </row>
    <row r="93" spans="1:7" x14ac:dyDescent="0.25">
      <c r="A93" s="11" t="s">
        <v>869</v>
      </c>
      <c r="B93" s="35">
        <v>274385</v>
      </c>
      <c r="C93" s="11" t="s">
        <v>264</v>
      </c>
      <c r="D93" s="11">
        <v>1</v>
      </c>
      <c r="E93" s="11">
        <f t="shared" si="6"/>
        <v>68</v>
      </c>
      <c r="F93" s="11">
        <f t="shared" si="5"/>
        <v>1</v>
      </c>
      <c r="G93" s="11">
        <f t="shared" si="4"/>
        <v>18383795</v>
      </c>
    </row>
    <row r="94" spans="1:7" x14ac:dyDescent="0.25">
      <c r="A94" s="11" t="s">
        <v>878</v>
      </c>
      <c r="B94" s="38">
        <v>5500000</v>
      </c>
      <c r="C94" s="11" t="s">
        <v>879</v>
      </c>
      <c r="D94" s="11">
        <v>1</v>
      </c>
      <c r="E94" s="11">
        <f t="shared" si="6"/>
        <v>67</v>
      </c>
      <c r="F94" s="11">
        <f t="shared" si="5"/>
        <v>1</v>
      </c>
      <c r="G94" s="11">
        <f t="shared" si="4"/>
        <v>363000000</v>
      </c>
    </row>
    <row r="95" spans="1:7" x14ac:dyDescent="0.25">
      <c r="A95" s="11" t="s">
        <v>880</v>
      </c>
      <c r="B95" s="38">
        <v>3000000</v>
      </c>
      <c r="C95" s="11" t="s">
        <v>881</v>
      </c>
      <c r="D95" s="11">
        <v>1</v>
      </c>
      <c r="E95" s="11">
        <f t="shared" si="6"/>
        <v>66</v>
      </c>
      <c r="F95" s="11">
        <f t="shared" si="5"/>
        <v>1</v>
      </c>
      <c r="G95" s="11">
        <f t="shared" si="4"/>
        <v>195000000</v>
      </c>
    </row>
    <row r="96" spans="1:7" x14ac:dyDescent="0.25">
      <c r="A96" s="11" t="s">
        <v>882</v>
      </c>
      <c r="B96" s="38">
        <v>3000000</v>
      </c>
      <c r="C96" s="11" t="s">
        <v>883</v>
      </c>
      <c r="D96" s="11">
        <v>1</v>
      </c>
      <c r="E96" s="11">
        <f t="shared" si="6"/>
        <v>65</v>
      </c>
      <c r="F96" s="11">
        <f t="shared" si="5"/>
        <v>1</v>
      </c>
      <c r="G96" s="11">
        <f t="shared" si="4"/>
        <v>192000000</v>
      </c>
    </row>
    <row r="97" spans="1:7" x14ac:dyDescent="0.25">
      <c r="A97" s="11" t="s">
        <v>884</v>
      </c>
      <c r="B97" s="38">
        <v>3000000</v>
      </c>
      <c r="C97" s="11" t="s">
        <v>885</v>
      </c>
      <c r="D97" s="11">
        <v>1</v>
      </c>
      <c r="E97" s="11">
        <f t="shared" si="6"/>
        <v>64</v>
      </c>
      <c r="F97" s="11">
        <f t="shared" si="5"/>
        <v>1</v>
      </c>
      <c r="G97" s="11">
        <f t="shared" si="4"/>
        <v>189000000</v>
      </c>
    </row>
    <row r="98" spans="1:7" x14ac:dyDescent="0.25">
      <c r="A98" s="11" t="s">
        <v>886</v>
      </c>
      <c r="B98" s="38">
        <v>3000000</v>
      </c>
      <c r="C98" s="11" t="s">
        <v>887</v>
      </c>
      <c r="D98" s="11">
        <v>1</v>
      </c>
      <c r="E98" s="11">
        <f t="shared" si="6"/>
        <v>63</v>
      </c>
      <c r="F98" s="11">
        <f t="shared" si="5"/>
        <v>1</v>
      </c>
      <c r="G98" s="11">
        <f t="shared" si="4"/>
        <v>186000000</v>
      </c>
    </row>
    <row r="99" spans="1:7" x14ac:dyDescent="0.25">
      <c r="A99" s="11" t="s">
        <v>888</v>
      </c>
      <c r="B99" s="38">
        <v>3000000</v>
      </c>
      <c r="C99" s="11" t="s">
        <v>889</v>
      </c>
      <c r="D99" s="11">
        <v>2</v>
      </c>
      <c r="E99" s="11">
        <f t="shared" si="6"/>
        <v>62</v>
      </c>
      <c r="F99" s="11">
        <f t="shared" si="5"/>
        <v>1</v>
      </c>
      <c r="G99" s="11">
        <f t="shared" si="4"/>
        <v>183000000</v>
      </c>
    </row>
    <row r="100" spans="1:7" x14ac:dyDescent="0.25">
      <c r="A100" s="11" t="s">
        <v>890</v>
      </c>
      <c r="B100" s="38">
        <v>999500</v>
      </c>
      <c r="C100" s="11" t="s">
        <v>904</v>
      </c>
      <c r="D100" s="11">
        <v>1</v>
      </c>
      <c r="E100" s="11">
        <f t="shared" si="6"/>
        <v>60</v>
      </c>
      <c r="F100" s="11">
        <f t="shared" si="5"/>
        <v>1</v>
      </c>
      <c r="G100" s="11">
        <f t="shared" si="4"/>
        <v>58970500</v>
      </c>
    </row>
    <row r="101" spans="1:7" ht="30" x14ac:dyDescent="0.25">
      <c r="A101" s="11" t="s">
        <v>903</v>
      </c>
      <c r="B101" s="38">
        <v>-1986700</v>
      </c>
      <c r="C101" s="73" t="s">
        <v>905</v>
      </c>
      <c r="D101" s="11">
        <v>21</v>
      </c>
      <c r="E101" s="11">
        <f t="shared" si="6"/>
        <v>59</v>
      </c>
      <c r="F101" s="11">
        <f t="shared" si="5"/>
        <v>0</v>
      </c>
      <c r="G101" s="11">
        <f t="shared" si="4"/>
        <v>-117215300</v>
      </c>
    </row>
    <row r="102" spans="1:7" ht="30" x14ac:dyDescent="0.25">
      <c r="A102" s="11" t="s">
        <v>907</v>
      </c>
      <c r="B102" s="38">
        <v>3000000</v>
      </c>
      <c r="C102" s="73" t="s">
        <v>908</v>
      </c>
      <c r="D102" s="11">
        <v>0</v>
      </c>
      <c r="E102" s="11">
        <f t="shared" si="6"/>
        <v>38</v>
      </c>
      <c r="F102" s="11">
        <f t="shared" si="5"/>
        <v>1</v>
      </c>
      <c r="G102" s="11">
        <f t="shared" si="4"/>
        <v>111000000</v>
      </c>
    </row>
    <row r="103" spans="1:7" x14ac:dyDescent="0.25">
      <c r="A103" s="11" t="s">
        <v>1049</v>
      </c>
      <c r="B103" s="38">
        <v>295500</v>
      </c>
      <c r="C103" s="73" t="s">
        <v>1050</v>
      </c>
      <c r="D103" s="11">
        <v>15</v>
      </c>
      <c r="E103" s="11">
        <f t="shared" si="6"/>
        <v>38</v>
      </c>
      <c r="F103" s="11">
        <f t="shared" si="5"/>
        <v>1</v>
      </c>
      <c r="G103" s="11">
        <f t="shared" si="4"/>
        <v>10933500</v>
      </c>
    </row>
    <row r="104" spans="1:7" x14ac:dyDescent="0.25">
      <c r="A104" s="11" t="s">
        <v>932</v>
      </c>
      <c r="B104" s="38">
        <v>-10000</v>
      </c>
      <c r="C104" s="73" t="s">
        <v>938</v>
      </c>
      <c r="D104" s="11">
        <v>6</v>
      </c>
      <c r="E104" s="11">
        <f t="shared" si="6"/>
        <v>23</v>
      </c>
      <c r="F104" s="11">
        <f t="shared" si="5"/>
        <v>0</v>
      </c>
      <c r="G104" s="11">
        <f t="shared" si="4"/>
        <v>-230000</v>
      </c>
    </row>
    <row r="105" spans="1:7" x14ac:dyDescent="0.25">
      <c r="A105" s="11" t="s">
        <v>940</v>
      </c>
      <c r="B105" s="38">
        <v>1999000</v>
      </c>
      <c r="C105" s="73" t="s">
        <v>941</v>
      </c>
      <c r="D105" s="11">
        <v>5</v>
      </c>
      <c r="E105" s="11">
        <f t="shared" si="6"/>
        <v>17</v>
      </c>
      <c r="F105" s="11">
        <f t="shared" si="5"/>
        <v>1</v>
      </c>
      <c r="G105" s="11">
        <f t="shared" si="4"/>
        <v>31984000</v>
      </c>
    </row>
    <row r="106" spans="1:7" x14ac:dyDescent="0.25">
      <c r="A106" s="11" t="s">
        <v>959</v>
      </c>
      <c r="B106" s="38">
        <v>-60000000</v>
      </c>
      <c r="C106" s="73" t="s">
        <v>1043</v>
      </c>
      <c r="D106" s="11">
        <v>0</v>
      </c>
      <c r="E106" s="11">
        <f t="shared" si="6"/>
        <v>12</v>
      </c>
      <c r="F106" s="11">
        <f t="shared" si="5"/>
        <v>0</v>
      </c>
      <c r="G106" s="11">
        <f t="shared" si="4"/>
        <v>-720000000</v>
      </c>
    </row>
    <row r="107" spans="1:7" x14ac:dyDescent="0.25">
      <c r="A107" s="11" t="s">
        <v>959</v>
      </c>
      <c r="B107" s="38">
        <v>5850000</v>
      </c>
      <c r="C107" s="73" t="s">
        <v>1047</v>
      </c>
      <c r="D107" s="11">
        <v>1</v>
      </c>
      <c r="E107" s="11">
        <f t="shared" si="6"/>
        <v>12</v>
      </c>
      <c r="F107" s="11">
        <f t="shared" si="5"/>
        <v>1</v>
      </c>
      <c r="G107" s="11">
        <f t="shared" si="4"/>
        <v>64350000</v>
      </c>
    </row>
    <row r="108" spans="1:7" x14ac:dyDescent="0.25">
      <c r="A108" s="11" t="s">
        <v>1054</v>
      </c>
      <c r="B108" s="38">
        <v>3000000</v>
      </c>
      <c r="C108" s="73" t="s">
        <v>1064</v>
      </c>
      <c r="D108" s="11">
        <v>1</v>
      </c>
      <c r="E108" s="11">
        <f t="shared" si="6"/>
        <v>11</v>
      </c>
      <c r="F108" s="11">
        <f t="shared" si="5"/>
        <v>1</v>
      </c>
      <c r="G108" s="11">
        <f t="shared" si="4"/>
        <v>30000000</v>
      </c>
    </row>
    <row r="109" spans="1:7" x14ac:dyDescent="0.25">
      <c r="A109" s="11" t="s">
        <v>1065</v>
      </c>
      <c r="B109" s="38">
        <v>2000000</v>
      </c>
      <c r="C109" s="73" t="s">
        <v>1064</v>
      </c>
      <c r="D109" s="11">
        <v>0</v>
      </c>
      <c r="E109" s="11">
        <f t="shared" si="6"/>
        <v>10</v>
      </c>
      <c r="F109" s="11">
        <f t="shared" si="5"/>
        <v>1</v>
      </c>
      <c r="G109" s="11">
        <f t="shared" si="4"/>
        <v>18000000</v>
      </c>
    </row>
    <row r="110" spans="1:7" x14ac:dyDescent="0.25">
      <c r="A110" s="11" t="s">
        <v>1065</v>
      </c>
      <c r="B110" s="38">
        <v>-5000000</v>
      </c>
      <c r="C110" s="73" t="s">
        <v>1043</v>
      </c>
      <c r="D110" s="11">
        <v>1</v>
      </c>
      <c r="E110" s="11">
        <f t="shared" si="6"/>
        <v>10</v>
      </c>
      <c r="F110" s="11">
        <f t="shared" si="5"/>
        <v>0</v>
      </c>
      <c r="G110" s="11">
        <f t="shared" si="4"/>
        <v>-50000000</v>
      </c>
    </row>
    <row r="111" spans="1:7" x14ac:dyDescent="0.25">
      <c r="A111" s="11" t="s">
        <v>1071</v>
      </c>
      <c r="B111" s="38">
        <v>412668</v>
      </c>
      <c r="C111" s="73" t="s">
        <v>1072</v>
      </c>
      <c r="D111" s="11">
        <v>8</v>
      </c>
      <c r="E111" s="11">
        <f t="shared" si="6"/>
        <v>9</v>
      </c>
      <c r="F111" s="11">
        <f t="shared" si="5"/>
        <v>1</v>
      </c>
      <c r="G111" s="11">
        <f t="shared" si="4"/>
        <v>3301344</v>
      </c>
    </row>
    <row r="112" spans="1:7" x14ac:dyDescent="0.25">
      <c r="A112" s="11" t="s">
        <v>1111</v>
      </c>
      <c r="B112" s="38">
        <v>42000000</v>
      </c>
      <c r="C112" s="73" t="s">
        <v>1112</v>
      </c>
      <c r="D112" s="11">
        <v>1</v>
      </c>
      <c r="E112" s="11">
        <f t="shared" si="6"/>
        <v>1</v>
      </c>
      <c r="F112" s="11">
        <f t="shared" si="5"/>
        <v>1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49727461</v>
      </c>
      <c r="C127" s="11"/>
      <c r="D127" s="11"/>
      <c r="E127" s="11"/>
      <c r="F127" s="11"/>
      <c r="G127" s="29">
        <f>SUM(G2:G126)</f>
        <v>21075445247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43544308.361570247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873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828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898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907</v>
      </c>
      <c r="B4" s="39">
        <v>294852</v>
      </c>
      <c r="C4" s="39">
        <v>74657</v>
      </c>
      <c r="D4" s="35">
        <f t="shared" si="0"/>
        <v>220195</v>
      </c>
      <c r="E4" s="23" t="s">
        <v>917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919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932</v>
      </c>
      <c r="B4" s="18">
        <v>-10000</v>
      </c>
      <c r="C4" s="18">
        <v>-5000</v>
      </c>
      <c r="D4" s="3">
        <f t="shared" si="0"/>
        <v>-5000</v>
      </c>
      <c r="E4" s="11" t="s">
        <v>938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959</v>
      </c>
      <c r="B5" s="18">
        <v>-27000000</v>
      </c>
      <c r="C5" s="18">
        <v>0</v>
      </c>
      <c r="D5" s="3">
        <f t="shared" si="0"/>
        <v>-27000000</v>
      </c>
      <c r="E5" s="20" t="s">
        <v>1044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1071</v>
      </c>
      <c r="B6" s="18">
        <v>252436</v>
      </c>
      <c r="C6" s="18">
        <v>65510</v>
      </c>
      <c r="D6" s="3">
        <f t="shared" si="0"/>
        <v>186926</v>
      </c>
      <c r="E6" s="19" t="s">
        <v>1073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950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1063</v>
      </c>
    </row>
    <row r="36" spans="4:17" x14ac:dyDescent="0.25">
      <c r="D36" s="42">
        <v>245000</v>
      </c>
      <c r="E36" s="41" t="s">
        <v>1063</v>
      </c>
    </row>
    <row r="37" spans="4:17" x14ac:dyDescent="0.25">
      <c r="D37" s="7">
        <v>-25000</v>
      </c>
      <c r="E37" s="41" t="s">
        <v>1067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T1" zoomScaleNormal="100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8.85546875" customWidth="1"/>
    <col min="25" max="25" width="18.42578125" bestFit="1" customWidth="1"/>
    <col min="26" max="26" width="16.85546875" bestFit="1" customWidth="1"/>
    <col min="27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6.7109375" customWidth="1"/>
    <col min="33" max="33" width="16.85546875" bestFit="1" customWidth="1"/>
  </cols>
  <sheetData>
    <row r="1" spans="1:33" x14ac:dyDescent="0.25">
      <c r="A1" s="11" t="s">
        <v>964</v>
      </c>
      <c r="B1" s="11" t="s">
        <v>961</v>
      </c>
      <c r="C1" s="11" t="s">
        <v>962</v>
      </c>
      <c r="D1" s="11" t="s">
        <v>973</v>
      </c>
      <c r="E1" s="11" t="s">
        <v>975</v>
      </c>
      <c r="F1" s="11" t="s">
        <v>965</v>
      </c>
      <c r="G1" s="11" t="s">
        <v>183</v>
      </c>
      <c r="H1" s="11" t="s">
        <v>980</v>
      </c>
      <c r="I1" s="11" t="s">
        <v>970</v>
      </c>
      <c r="J1" s="11" t="s">
        <v>976</v>
      </c>
      <c r="K1" s="11" t="s">
        <v>977</v>
      </c>
      <c r="L1" s="11" t="s">
        <v>971</v>
      </c>
      <c r="M1" s="11" t="s">
        <v>978</v>
      </c>
      <c r="N1" s="11" t="s">
        <v>5</v>
      </c>
      <c r="O1" s="11" t="s">
        <v>483</v>
      </c>
      <c r="P1" s="11" t="s">
        <v>39</v>
      </c>
      <c r="Q1" s="11" t="s">
        <v>1051</v>
      </c>
      <c r="R1" s="11" t="s">
        <v>981</v>
      </c>
      <c r="S1" s="74" t="s">
        <v>1068</v>
      </c>
      <c r="AB1" s="11" t="s">
        <v>980</v>
      </c>
      <c r="AC1" s="25"/>
    </row>
    <row r="2" spans="1:33" x14ac:dyDescent="0.25">
      <c r="A2" s="76" t="s">
        <v>951</v>
      </c>
      <c r="B2" s="76" t="s">
        <v>972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20</v>
      </c>
      <c r="AC2" s="25"/>
    </row>
    <row r="3" spans="1:33" x14ac:dyDescent="0.25">
      <c r="A3" s="76" t="s">
        <v>951</v>
      </c>
      <c r="B3" s="76" t="s">
        <v>972</v>
      </c>
      <c r="C3" s="76">
        <v>400</v>
      </c>
      <c r="D3" s="76" t="s">
        <v>974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967</v>
      </c>
      <c r="W3" s="82" t="s">
        <v>267</v>
      </c>
      <c r="X3" s="82" t="s">
        <v>8</v>
      </c>
      <c r="Y3" s="82" t="s">
        <v>5</v>
      </c>
      <c r="Z3" s="82" t="s">
        <v>483</v>
      </c>
      <c r="AA3" s="82" t="s">
        <v>183</v>
      </c>
      <c r="AB3" s="82" t="s">
        <v>968</v>
      </c>
      <c r="AC3" s="82" t="s">
        <v>1057</v>
      </c>
      <c r="AD3" s="82" t="s">
        <v>1058</v>
      </c>
      <c r="AE3" s="82" t="s">
        <v>1059</v>
      </c>
      <c r="AF3" s="82" t="s">
        <v>1060</v>
      </c>
      <c r="AG3" s="82" t="s">
        <v>969</v>
      </c>
    </row>
    <row r="4" spans="1:33" x14ac:dyDescent="0.25">
      <c r="A4" s="79" t="s">
        <v>951</v>
      </c>
      <c r="B4" s="79" t="s">
        <v>963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658.83287671232881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80435.999558584095</v>
      </c>
      <c r="M4" s="81"/>
      <c r="N4" s="79"/>
      <c r="O4" s="79"/>
      <c r="P4" s="81"/>
      <c r="Q4" s="81"/>
      <c r="R4" s="79"/>
      <c r="S4" s="80">
        <v>0</v>
      </c>
      <c r="U4" s="82"/>
      <c r="V4" s="82"/>
      <c r="W4" s="85">
        <v>0</v>
      </c>
      <c r="X4" s="82"/>
      <c r="Y4" s="85"/>
      <c r="Z4" s="86">
        <f>W4-Y4</f>
        <v>0</v>
      </c>
      <c r="AA4" s="82"/>
      <c r="AB4" s="85">
        <f t="shared" ref="AB4:AB10" si="2">W4*AA4*$AB$2/(365*100)</f>
        <v>0</v>
      </c>
      <c r="AC4" s="85">
        <f>AB4</f>
        <v>0</v>
      </c>
      <c r="AD4" s="85">
        <v>0</v>
      </c>
      <c r="AE4" s="85">
        <f>Y4+AC4</f>
        <v>0</v>
      </c>
      <c r="AF4" s="85">
        <f>Z4+AD4</f>
        <v>0</v>
      </c>
      <c r="AG4" s="86">
        <f t="shared" ref="AG4:AG9" si="3">W4+AB4</f>
        <v>0</v>
      </c>
    </row>
    <row r="5" spans="1:33" x14ac:dyDescent="0.25">
      <c r="A5" s="79" t="s">
        <v>1054</v>
      </c>
      <c r="B5" s="79" t="s">
        <v>963</v>
      </c>
      <c r="C5" s="79">
        <v>3</v>
      </c>
      <c r="D5" s="79" t="s">
        <v>974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2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/>
      <c r="V5" s="82"/>
      <c r="W5" s="85">
        <v>0</v>
      </c>
      <c r="X5" s="82"/>
      <c r="Y5" s="85"/>
      <c r="Z5" s="86">
        <f t="shared" ref="Z5:Z8" si="4">W5-Y5</f>
        <v>0</v>
      </c>
      <c r="AA5" s="82"/>
      <c r="AB5" s="85">
        <f t="shared" si="2"/>
        <v>0</v>
      </c>
      <c r="AC5" s="85">
        <v>0</v>
      </c>
      <c r="AD5" s="85">
        <f>AB5</f>
        <v>0</v>
      </c>
      <c r="AE5" s="85">
        <f t="shared" ref="AE5:AE11" si="5">Y5+AC5</f>
        <v>0</v>
      </c>
      <c r="AF5" s="85">
        <f t="shared" ref="AF5:AF11" si="6">Z5+AD5</f>
        <v>0</v>
      </c>
      <c r="AG5" s="86">
        <f t="shared" si="3"/>
        <v>0</v>
      </c>
    </row>
    <row r="6" spans="1:33" x14ac:dyDescent="0.25">
      <c r="A6" s="76" t="s">
        <v>951</v>
      </c>
      <c r="B6" s="76" t="s">
        <v>963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130976.25534246575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80479.954179743028</v>
      </c>
      <c r="M6" s="76"/>
      <c r="N6" s="76"/>
      <c r="O6" s="76"/>
      <c r="P6" s="76"/>
      <c r="Q6" s="76"/>
      <c r="R6" s="77">
        <v>81000</v>
      </c>
      <c r="S6" s="77">
        <v>0</v>
      </c>
      <c r="U6" s="82"/>
      <c r="V6" s="82"/>
      <c r="W6" s="85">
        <v>0</v>
      </c>
      <c r="X6" s="82"/>
      <c r="Y6" s="85"/>
      <c r="Z6" s="86">
        <f t="shared" si="4"/>
        <v>0</v>
      </c>
      <c r="AA6" s="82"/>
      <c r="AB6" s="85">
        <f t="shared" si="2"/>
        <v>0</v>
      </c>
      <c r="AC6" s="85">
        <f>AB6</f>
        <v>0</v>
      </c>
      <c r="AD6" s="85">
        <v>0</v>
      </c>
      <c r="AE6" s="85">
        <f t="shared" si="5"/>
        <v>0</v>
      </c>
      <c r="AF6" s="85">
        <f t="shared" si="6"/>
        <v>0</v>
      </c>
      <c r="AG6" s="86">
        <f t="shared" si="3"/>
        <v>0</v>
      </c>
    </row>
    <row r="7" spans="1:33" x14ac:dyDescent="0.25">
      <c r="A7" s="76" t="s">
        <v>1065</v>
      </c>
      <c r="B7" s="76" t="s">
        <v>963</v>
      </c>
      <c r="C7" s="76">
        <v>497</v>
      </c>
      <c r="D7" s="76" t="s">
        <v>974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/>
      <c r="V7" s="82"/>
      <c r="W7" s="85">
        <v>0</v>
      </c>
      <c r="X7" s="82"/>
      <c r="Y7" s="85"/>
      <c r="Z7" s="86">
        <f t="shared" si="4"/>
        <v>0</v>
      </c>
      <c r="AA7" s="82"/>
      <c r="AB7" s="85">
        <f t="shared" si="2"/>
        <v>0</v>
      </c>
      <c r="AC7" s="85">
        <f>AB7/2</f>
        <v>0</v>
      </c>
      <c r="AD7" s="85">
        <f>AB7-AC7</f>
        <v>0</v>
      </c>
      <c r="AE7" s="85">
        <f t="shared" si="5"/>
        <v>0</v>
      </c>
      <c r="AF7" s="85">
        <f t="shared" si="6"/>
        <v>0</v>
      </c>
      <c r="AG7" s="86">
        <f t="shared" si="3"/>
        <v>0</v>
      </c>
    </row>
    <row r="8" spans="1:33" x14ac:dyDescent="0.25">
      <c r="A8" s="79" t="s">
        <v>960</v>
      </c>
      <c r="B8" s="79" t="s">
        <v>979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-2400.3166849315066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97352.15615882774</v>
      </c>
      <c r="M8" s="79"/>
      <c r="N8" s="79"/>
      <c r="O8" s="79"/>
      <c r="P8" s="79"/>
      <c r="Q8" s="79"/>
      <c r="R8" s="80"/>
      <c r="S8" s="80">
        <f>C8*E8+K8-F8</f>
        <v>-17007.867499999702</v>
      </c>
      <c r="U8" s="82"/>
      <c r="V8" s="82"/>
      <c r="W8" s="85">
        <v>0</v>
      </c>
      <c r="X8" s="82"/>
      <c r="Y8" s="85"/>
      <c r="Z8" s="86">
        <f t="shared" si="4"/>
        <v>0</v>
      </c>
      <c r="AA8" s="82"/>
      <c r="AB8" s="85"/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959</v>
      </c>
      <c r="B9" s="79" t="s">
        <v>979</v>
      </c>
      <c r="C9" s="79">
        <v>300</v>
      </c>
      <c r="D9" s="79" t="s">
        <v>974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3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7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960</v>
      </c>
      <c r="B10" s="76" t="s">
        <v>979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-1333.5091780821917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97346.880363612901</v>
      </c>
      <c r="M10" s="76"/>
      <c r="N10" s="76"/>
      <c r="O10" s="76"/>
      <c r="P10" s="78"/>
      <c r="Q10" s="78"/>
      <c r="R10" s="76"/>
      <c r="S10" s="77">
        <f t="shared" ref="S10" si="8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1065</v>
      </c>
      <c r="B11" s="76" t="s">
        <v>979</v>
      </c>
      <c r="C11" s="76">
        <v>100</v>
      </c>
      <c r="D11" s="76" t="s">
        <v>974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4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9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959</v>
      </c>
      <c r="B12" s="79" t="s">
        <v>1041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0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0</v>
      </c>
      <c r="X12" s="82"/>
      <c r="Y12" s="85">
        <f>SUM(Y4:Y10)</f>
        <v>0</v>
      </c>
      <c r="Z12" s="86">
        <f>SUM(Z4:Z9)</f>
        <v>0</v>
      </c>
      <c r="AA12" s="82"/>
      <c r="AB12" s="86">
        <f>SUM(AB4:AB10)</f>
        <v>0</v>
      </c>
      <c r="AC12" s="86">
        <f>SUM(AC4:AC10)</f>
        <v>0</v>
      </c>
      <c r="AD12" s="86">
        <f>SUM(AD4:AD10)</f>
        <v>0</v>
      </c>
      <c r="AE12" s="86">
        <f>SUM(AE4:AE11)</f>
        <v>0</v>
      </c>
      <c r="AF12" s="86">
        <f>SUM(AF4:AF11)</f>
        <v>0</v>
      </c>
      <c r="AG12" s="86">
        <f>SUM(AG4:AG10)</f>
        <v>0</v>
      </c>
    </row>
    <row r="13" spans="1:33" x14ac:dyDescent="0.25">
      <c r="A13" s="79" t="s">
        <v>959</v>
      </c>
      <c r="B13" s="79" t="s">
        <v>1041</v>
      </c>
      <c r="C13" s="79">
        <v>200</v>
      </c>
      <c r="D13" s="79" t="s">
        <v>974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0"/>
        <v>10220.759999999998</v>
      </c>
      <c r="L13" s="79">
        <v>5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959</v>
      </c>
      <c r="B14" s="76" t="s">
        <v>989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0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1">C14*E14+K14-F14</f>
        <v>-852355</v>
      </c>
      <c r="Z14" t="s">
        <v>755</v>
      </c>
      <c r="AA14" t="s">
        <v>452</v>
      </c>
    </row>
    <row r="15" spans="1:33" x14ac:dyDescent="0.25">
      <c r="A15" s="76" t="s">
        <v>959</v>
      </c>
      <c r="B15" s="76" t="s">
        <v>989</v>
      </c>
      <c r="C15" s="76">
        <v>200</v>
      </c>
      <c r="D15" s="76" t="s">
        <v>974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0"/>
        <v>12092.855</v>
      </c>
      <c r="L15" s="76">
        <v>6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2">-C15*E15+K15+F15</f>
        <v>852475.85500000045</v>
      </c>
      <c r="Y15" t="s">
        <v>1061</v>
      </c>
      <c r="Z15" s="7">
        <f>Z12+Q70</f>
        <v>2401165.5</v>
      </c>
      <c r="AA15" s="7">
        <f>Y12+P70</f>
        <v>3802449.5</v>
      </c>
    </row>
    <row r="16" spans="1:33" x14ac:dyDescent="0.25">
      <c r="A16" s="79" t="s">
        <v>959</v>
      </c>
      <c r="B16" s="79" t="s">
        <v>972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-541.27183561643835</v>
      </c>
      <c r="J16" s="79">
        <v>7.2499999999999995E-2</v>
      </c>
      <c r="K16" s="80">
        <f t="shared" ref="K16:K21" si="13">C16*E16*J16/100</f>
        <v>7056.28</v>
      </c>
      <c r="L16" s="79">
        <f>(E16*(1+J16/100)+I16/C16)/(1-J17/100)-(S16/C16)*(G16/365)*($AB$2/100)</f>
        <v>97465.327560978476</v>
      </c>
      <c r="M16" s="81"/>
      <c r="N16" s="79"/>
      <c r="O16" s="79"/>
      <c r="P16" s="81"/>
      <c r="Q16" s="81"/>
      <c r="R16" s="79"/>
      <c r="S16" s="80">
        <f t="shared" ref="S16" si="14">C16*E16+K16-F16</f>
        <v>-138354.72000000067</v>
      </c>
      <c r="Y16" t="s">
        <v>1062</v>
      </c>
      <c r="Z16" s="7">
        <f>Z15-AF12</f>
        <v>2401165.5</v>
      </c>
      <c r="AA16" s="7">
        <f>AA15-AE12</f>
        <v>3802449.5</v>
      </c>
    </row>
    <row r="17" spans="1:30" x14ac:dyDescent="0.25">
      <c r="A17" s="79" t="s">
        <v>1065</v>
      </c>
      <c r="B17" s="79" t="s">
        <v>972</v>
      </c>
      <c r="C17" s="79">
        <v>100</v>
      </c>
      <c r="D17" s="79" t="s">
        <v>974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3"/>
        <v>7177.5</v>
      </c>
      <c r="L17" s="79">
        <v>7</v>
      </c>
      <c r="M17" s="81">
        <f>F17-F16</f>
        <v>164154</v>
      </c>
      <c r="N17" s="79">
        <v>50</v>
      </c>
      <c r="O17" s="79">
        <v>50</v>
      </c>
      <c r="P17" s="81">
        <f t="shared" ref="P17" si="15">M17*N17/C16</f>
        <v>82077</v>
      </c>
      <c r="Q17" s="81">
        <f t="shared" ref="Q17" si="16">M17*O17/C16</f>
        <v>82077</v>
      </c>
      <c r="R17" s="79"/>
      <c r="S17" s="80">
        <f t="shared" ref="S17" si="17">-C17*E17+K17+F17</f>
        <v>149542.5</v>
      </c>
    </row>
    <row r="18" spans="1:30" x14ac:dyDescent="0.25">
      <c r="A18" s="76" t="s">
        <v>959</v>
      </c>
      <c r="B18" s="76" t="s">
        <v>972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-541.27183561643835</v>
      </c>
      <c r="J18" s="76">
        <v>7.2499999999999995E-2</v>
      </c>
      <c r="K18" s="77">
        <f t="shared" si="13"/>
        <v>7056.28</v>
      </c>
      <c r="L18" s="76">
        <f>(E18*(1+J18/100)+I18/C18)/(1-J19/100)-(S18/C18)*(G18/365)*($AB$2/100)</f>
        <v>97465.327560978476</v>
      </c>
      <c r="M18" s="78"/>
      <c r="N18" s="76"/>
      <c r="O18" s="76"/>
      <c r="P18" s="78"/>
      <c r="Q18" s="78"/>
      <c r="R18" s="76"/>
      <c r="S18" s="77">
        <f t="shared" ref="S18" si="18">C18*E18+K18-F18</f>
        <v>-138354.72000000067</v>
      </c>
      <c r="Y18" t="s">
        <v>1092</v>
      </c>
      <c r="Z18">
        <v>8</v>
      </c>
    </row>
    <row r="19" spans="1:30" x14ac:dyDescent="0.25">
      <c r="A19" s="76" t="s">
        <v>1065</v>
      </c>
      <c r="B19" s="76" t="s">
        <v>972</v>
      </c>
      <c r="C19" s="76">
        <v>100</v>
      </c>
      <c r="D19" s="76" t="s">
        <v>974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3"/>
        <v>7249.8549999999996</v>
      </c>
      <c r="L19" s="76">
        <v>8</v>
      </c>
      <c r="M19" s="78">
        <f t="shared" ref="M19" si="19">F19-F18</f>
        <v>263972</v>
      </c>
      <c r="N19" s="76">
        <v>50</v>
      </c>
      <c r="O19" s="76">
        <v>50</v>
      </c>
      <c r="P19" s="78">
        <f t="shared" ref="P19" si="20">M19*N19/C18</f>
        <v>131986</v>
      </c>
      <c r="Q19" s="78">
        <f t="shared" ref="Q19" si="21">M19*O19/C18</f>
        <v>131986</v>
      </c>
      <c r="R19" s="76"/>
      <c r="S19" s="77">
        <f t="shared" ref="S19" si="22">-C19*E19+K19+F19</f>
        <v>149632.85500000045</v>
      </c>
      <c r="Y19" t="s">
        <v>1093</v>
      </c>
      <c r="Z19">
        <v>14</v>
      </c>
    </row>
    <row r="20" spans="1:30" x14ac:dyDescent="0.25">
      <c r="A20" s="79" t="s">
        <v>959</v>
      </c>
      <c r="B20" s="79" t="s">
        <v>972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-1082.5436712328767</v>
      </c>
      <c r="J20" s="79">
        <v>7.2499999999999995E-2</v>
      </c>
      <c r="K20" s="80">
        <f t="shared" si="13"/>
        <v>14112.56</v>
      </c>
      <c r="L20" s="79">
        <f>(E20*(1+J20/100)+I20/C20)/(1-J21/100)-(S20/C20)*(G20/365)*($AB$2/100)</f>
        <v>97465.327560978476</v>
      </c>
      <c r="M20" s="81"/>
      <c r="N20" s="79"/>
      <c r="O20" s="79"/>
      <c r="P20" s="81"/>
      <c r="Q20" s="81"/>
      <c r="R20" s="79"/>
      <c r="S20" s="80">
        <f t="shared" ref="S20" si="23">C20*E20+K20-F20</f>
        <v>-276709.44000000134</v>
      </c>
    </row>
    <row r="21" spans="1:30" x14ac:dyDescent="0.25">
      <c r="A21" s="79" t="s">
        <v>1065</v>
      </c>
      <c r="B21" s="79" t="s">
        <v>972</v>
      </c>
      <c r="C21" s="79">
        <v>200</v>
      </c>
      <c r="D21" s="79" t="s">
        <v>974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3"/>
        <v>14355</v>
      </c>
      <c r="L21" s="79">
        <v>9</v>
      </c>
      <c r="M21" s="81">
        <f t="shared" ref="M21" si="24">F21-F20</f>
        <v>328309</v>
      </c>
      <c r="N21" s="79">
        <v>100</v>
      </c>
      <c r="O21" s="79">
        <v>100</v>
      </c>
      <c r="P21" s="81">
        <f t="shared" ref="P21" si="25">M21*N21/C20</f>
        <v>164154.5</v>
      </c>
      <c r="Q21" s="81">
        <f t="shared" ref="Q21" si="26">M21*O21/C20</f>
        <v>164154.5</v>
      </c>
      <c r="R21" s="79"/>
      <c r="S21" s="80">
        <f t="shared" ref="S21" si="27">-C21*E21+K21+F21</f>
        <v>299086</v>
      </c>
    </row>
    <row r="22" spans="1:30" x14ac:dyDescent="0.25">
      <c r="A22" s="76" t="s">
        <v>959</v>
      </c>
      <c r="B22" s="76" t="s">
        <v>985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-559.48580821917813</v>
      </c>
      <c r="J22" s="76">
        <v>7.2499999999999995E-2</v>
      </c>
      <c r="K22" s="77">
        <f t="shared" ref="K22:K23" si="28">C22*E22*J22/100</f>
        <v>7095.9375</v>
      </c>
      <c r="L22" s="76">
        <f>(E22*(1+J22/100)+I22/C22)/(1-J23/100)-(S22/C22)*(G22/365)*($AB$2/100)</f>
        <v>98015.981922419291</v>
      </c>
      <c r="M22" s="78"/>
      <c r="N22" s="76"/>
      <c r="O22" s="76"/>
      <c r="P22" s="78"/>
      <c r="Q22" s="78"/>
      <c r="R22" s="76"/>
      <c r="S22" s="77">
        <f t="shared" ref="S22" si="29">C22*E22+K22-F22</f>
        <v>-416020.0625</v>
      </c>
      <c r="W22" s="11" t="s">
        <v>982</v>
      </c>
      <c r="X22" s="11" t="s">
        <v>182</v>
      </c>
    </row>
    <row r="23" spans="1:30" x14ac:dyDescent="0.25">
      <c r="A23" s="76" t="s">
        <v>1065</v>
      </c>
      <c r="B23" s="76" t="s">
        <v>985</v>
      </c>
      <c r="C23" s="76">
        <v>100</v>
      </c>
      <c r="D23" s="76" t="s">
        <v>974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8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0">-C23*E23+K23+F23</f>
        <v>427982.92750000022</v>
      </c>
      <c r="W23" s="11" t="s">
        <v>983</v>
      </c>
      <c r="X23" s="3">
        <v>0</v>
      </c>
      <c r="AD23" t="s">
        <v>25</v>
      </c>
    </row>
    <row r="24" spans="1:30" x14ac:dyDescent="0.25">
      <c r="A24" s="79" t="s">
        <v>959</v>
      </c>
      <c r="B24" s="79" t="s">
        <v>972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-1623.8155068493152</v>
      </c>
      <c r="J24" s="79">
        <v>7.2499999999999995E-2</v>
      </c>
      <c r="K24" s="80">
        <f t="shared" ref="K24:K25" si="31">C24*E24*J24/100</f>
        <v>21168.84</v>
      </c>
      <c r="L24" s="79">
        <f>(E24*(1+J24/100)+I24/C24)/(1-J25/100)-(S24/C24)*(G24/365)*($AB$2/100)</f>
        <v>97465.327560978476</v>
      </c>
      <c r="M24" s="81"/>
      <c r="N24" s="79"/>
      <c r="O24" s="79"/>
      <c r="P24" s="81"/>
      <c r="Q24" s="81"/>
      <c r="R24" s="79"/>
      <c r="S24" s="80">
        <f t="shared" ref="S24" si="32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1065</v>
      </c>
      <c r="B25" s="79" t="s">
        <v>972</v>
      </c>
      <c r="C25" s="79">
        <v>300</v>
      </c>
      <c r="D25" s="79" t="s">
        <v>974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1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3">-C25*E25+K25+F25</f>
        <v>448628.5</v>
      </c>
      <c r="W25" s="11"/>
      <c r="X25" s="3">
        <v>0</v>
      </c>
    </row>
    <row r="26" spans="1:30" x14ac:dyDescent="0.25">
      <c r="A26" s="76" t="s">
        <v>959</v>
      </c>
      <c r="B26" s="76" t="s">
        <v>985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-1118.9716164383563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98015.981922419291</v>
      </c>
      <c r="M26" s="78"/>
      <c r="N26" s="76"/>
      <c r="O26" s="76"/>
      <c r="P26" s="78"/>
      <c r="Q26" s="78"/>
      <c r="R26" s="76"/>
      <c r="S26" s="77">
        <f t="shared" ref="S26" si="34">C26*E26+K26-F26</f>
        <v>-832040.125</v>
      </c>
      <c r="W26" s="11"/>
      <c r="X26" s="3">
        <v>0</v>
      </c>
    </row>
    <row r="27" spans="1:30" x14ac:dyDescent="0.25">
      <c r="A27" s="76" t="s">
        <v>1065</v>
      </c>
      <c r="B27" s="76" t="s">
        <v>985</v>
      </c>
      <c r="C27" s="76">
        <v>200</v>
      </c>
      <c r="D27" s="76" t="s">
        <v>974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5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0" t="s">
        <v>959</v>
      </c>
      <c r="B28" s="90" t="s">
        <v>985</v>
      </c>
      <c r="C28" s="90">
        <v>100</v>
      </c>
      <c r="D28" s="90" t="s">
        <v>61</v>
      </c>
      <c r="E28" s="91">
        <v>97875</v>
      </c>
      <c r="F28" s="91">
        <v>10210616</v>
      </c>
      <c r="G28" s="90">
        <v>8</v>
      </c>
      <c r="H28" s="90">
        <v>21</v>
      </c>
      <c r="I28" s="91">
        <f>F28*G28*($AB$2-H28)/(36500)</f>
        <v>-2237.9432328767125</v>
      </c>
      <c r="J28" s="90">
        <v>7.2499999999999995E-2</v>
      </c>
      <c r="K28" s="91">
        <f>C28*E28*J28/100</f>
        <v>7095.9375</v>
      </c>
      <c r="L28" s="90">
        <f>(E28*(1+J28/100)+I28/C28)/(1-J29/100)-(S28/C28)*(G28/365)*($AB$2/100)</f>
        <v>98012.862542445393</v>
      </c>
      <c r="M28" s="90"/>
      <c r="N28" s="90"/>
      <c r="O28" s="90"/>
      <c r="P28" s="90"/>
      <c r="Q28" s="90"/>
      <c r="R28" s="91"/>
      <c r="S28" s="91">
        <f t="shared" ref="S28" si="36">C28*E28+K28-F28</f>
        <v>-416020.0625</v>
      </c>
      <c r="W28" s="11"/>
      <c r="X28" s="3">
        <v>0</v>
      </c>
    </row>
    <row r="29" spans="1:30" x14ac:dyDescent="0.25">
      <c r="A29" s="90" t="s">
        <v>1102</v>
      </c>
      <c r="B29" s="90" t="s">
        <v>985</v>
      </c>
      <c r="C29" s="90">
        <v>100</v>
      </c>
      <c r="D29" s="90" t="s">
        <v>974</v>
      </c>
      <c r="E29" s="91">
        <v>99999</v>
      </c>
      <c r="F29" s="91">
        <v>10456533</v>
      </c>
      <c r="G29" s="90"/>
      <c r="H29" s="90"/>
      <c r="I29" s="91">
        <f>F29*G29*($AB$2-H29)/(36500)</f>
        <v>0</v>
      </c>
      <c r="J29" s="90">
        <v>7.2499999999999995E-2</v>
      </c>
      <c r="K29" s="91">
        <f t="shared" ref="K29" si="37">C29*E29*J29/100</f>
        <v>7249.9274999999998</v>
      </c>
      <c r="L29" s="90">
        <v>13</v>
      </c>
      <c r="M29" s="91">
        <f>F29-F28</f>
        <v>245917</v>
      </c>
      <c r="N29" s="90">
        <v>50</v>
      </c>
      <c r="O29" s="90">
        <v>50</v>
      </c>
      <c r="P29" s="91">
        <f t="shared" ref="P29" si="38">M29*N29/C28</f>
        <v>122958.5</v>
      </c>
      <c r="Q29" s="91">
        <f t="shared" ref="Q29" si="39">M29*O29/C28</f>
        <v>122958.5</v>
      </c>
      <c r="R29" s="90"/>
      <c r="S29" s="91">
        <f t="shared" ref="S29" si="40">-C29*E29+K29+F29</f>
        <v>463882.92750000022</v>
      </c>
      <c r="W29" s="11"/>
      <c r="X29" s="3"/>
      <c r="Z29" s="7">
        <f>X32-W12</f>
        <v>0</v>
      </c>
    </row>
    <row r="30" spans="1:30" x14ac:dyDescent="0.25">
      <c r="A30" s="79" t="s">
        <v>1054</v>
      </c>
      <c r="B30" s="79" t="s">
        <v>1041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0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3"/>
      <c r="Z30" s="7">
        <f>Z29-AB12</f>
        <v>0</v>
      </c>
    </row>
    <row r="31" spans="1:30" x14ac:dyDescent="0.25">
      <c r="A31" s="79" t="s">
        <v>1054</v>
      </c>
      <c r="B31" s="79" t="s">
        <v>1041</v>
      </c>
      <c r="C31" s="79">
        <v>143</v>
      </c>
      <c r="D31" s="79" t="s">
        <v>974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0"/>
        <v>7309.0874999999996</v>
      </c>
      <c r="L31" s="79">
        <v>14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3"/>
    </row>
    <row r="32" spans="1:30" x14ac:dyDescent="0.25">
      <c r="A32" s="76" t="s">
        <v>1054</v>
      </c>
      <c r="B32" s="76" t="s">
        <v>963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0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3">
        <f>SUM(X23:X31)</f>
        <v>0</v>
      </c>
    </row>
    <row r="33" spans="1:24" x14ac:dyDescent="0.25">
      <c r="A33" s="76" t="s">
        <v>1054</v>
      </c>
      <c r="B33" s="76" t="s">
        <v>963</v>
      </c>
      <c r="C33" s="76">
        <v>500</v>
      </c>
      <c r="D33" s="76" t="s">
        <v>974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0"/>
        <v>29355.25</v>
      </c>
      <c r="L33" s="76">
        <v>15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3"/>
    </row>
    <row r="34" spans="1:24" x14ac:dyDescent="0.25">
      <c r="A34" s="79" t="s">
        <v>1054</v>
      </c>
      <c r="B34" s="79" t="s">
        <v>1041</v>
      </c>
      <c r="C34" s="79">
        <v>140</v>
      </c>
      <c r="D34" s="79" t="s">
        <v>1056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0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978</v>
      </c>
      <c r="X34" s="3">
        <f>X32-AG12</f>
        <v>0</v>
      </c>
    </row>
    <row r="35" spans="1:24" x14ac:dyDescent="0.25">
      <c r="A35" s="79" t="s">
        <v>1054</v>
      </c>
      <c r="B35" s="79" t="s">
        <v>1041</v>
      </c>
      <c r="C35" s="79">
        <v>140</v>
      </c>
      <c r="D35" s="79" t="s">
        <v>974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0"/>
        <v>7225.378999999999</v>
      </c>
      <c r="L35" s="79">
        <v>16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1065</v>
      </c>
      <c r="B36" s="76" t="s">
        <v>979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1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2">C36*E36+K36-F36</f>
        <v>-33703.5</v>
      </c>
    </row>
    <row r="37" spans="1:24" x14ac:dyDescent="0.25">
      <c r="A37" s="76" t="s">
        <v>1065</v>
      </c>
      <c r="B37" s="76" t="s">
        <v>979</v>
      </c>
      <c r="C37" s="76">
        <v>100</v>
      </c>
      <c r="D37" s="76" t="s">
        <v>974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1"/>
        <v>7192</v>
      </c>
      <c r="L37" s="76">
        <v>17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1065</v>
      </c>
      <c r="B38" s="79" t="s">
        <v>986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3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4">C38*E38+K38-F38</f>
        <v>-1252998.5</v>
      </c>
    </row>
    <row r="39" spans="1:24" x14ac:dyDescent="0.25">
      <c r="A39" s="79" t="s">
        <v>1065</v>
      </c>
      <c r="B39" s="79" t="s">
        <v>986</v>
      </c>
      <c r="C39" s="79">
        <v>500</v>
      </c>
      <c r="D39" s="79" t="s">
        <v>974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3"/>
        <v>33350</v>
      </c>
      <c r="L39" s="79">
        <v>18</v>
      </c>
      <c r="M39" s="81">
        <f>F39-F38</f>
        <v>433613</v>
      </c>
      <c r="N39" s="79">
        <v>250</v>
      </c>
      <c r="O39" s="79">
        <v>250</v>
      </c>
      <c r="P39" s="81">
        <f t="shared" ref="P39" si="45">M39*N39/C38</f>
        <v>216806.5</v>
      </c>
      <c r="Q39" s="81">
        <f t="shared" ref="Q39" si="46">M39*O39/C38</f>
        <v>216806.5</v>
      </c>
      <c r="R39" s="79"/>
      <c r="S39" s="80">
        <f t="shared" ref="S39" si="47">-C39*E39+K39+F39</f>
        <v>1252949</v>
      </c>
    </row>
    <row r="40" spans="1:24" x14ac:dyDescent="0.25">
      <c r="A40" s="76" t="s">
        <v>1065</v>
      </c>
      <c r="B40" s="76" t="s">
        <v>963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2163.5375342465754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82589.914880068871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1102</v>
      </c>
      <c r="B41" s="76" t="s">
        <v>963</v>
      </c>
      <c r="C41" s="76">
        <v>8</v>
      </c>
      <c r="D41" s="76" t="s">
        <v>974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6">
        <v>19</v>
      </c>
      <c r="M41" s="77">
        <f t="shared" ref="M41" si="48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 t="s">
        <v>1065</v>
      </c>
      <c r="B42" s="79" t="s">
        <v>989</v>
      </c>
      <c r="C42" s="79">
        <v>1900</v>
      </c>
      <c r="D42" s="79" t="s">
        <v>61</v>
      </c>
      <c r="E42" s="80">
        <v>85537</v>
      </c>
      <c r="F42" s="80">
        <v>170893386</v>
      </c>
      <c r="G42" s="79">
        <v>8</v>
      </c>
      <c r="H42" s="79">
        <v>15</v>
      </c>
      <c r="I42" s="80">
        <f>F42*G42*($AB$2-H42)/(36500)</f>
        <v>187280.42301369863</v>
      </c>
      <c r="J42" s="79">
        <v>7.2499999999999995E-2</v>
      </c>
      <c r="K42" s="80">
        <f>C42*E42*J42/100</f>
        <v>117827.2175</v>
      </c>
      <c r="L42" s="79">
        <f>(E42*(1+J42/100)+I42/C42)/(1-J43/100)-(S42/C42)*(G42/365)*($AB$2/100)</f>
        <v>85778.80481263742</v>
      </c>
      <c r="M42" s="81"/>
      <c r="N42" s="79"/>
      <c r="O42" s="79"/>
      <c r="P42" s="81"/>
      <c r="Q42" s="81"/>
      <c r="R42" s="79"/>
      <c r="S42" s="80">
        <f>C42*E42+K42-F42</f>
        <v>-8255258.7824999988</v>
      </c>
    </row>
    <row r="43" spans="1:24" x14ac:dyDescent="0.25">
      <c r="A43" s="79" t="s">
        <v>1103</v>
      </c>
      <c r="B43" s="79" t="s">
        <v>989</v>
      </c>
      <c r="C43" s="79">
        <v>1900</v>
      </c>
      <c r="D43" s="79" t="s">
        <v>974</v>
      </c>
      <c r="E43" s="80">
        <v>85899</v>
      </c>
      <c r="F43" s="80">
        <v>171903709</v>
      </c>
      <c r="G43" s="79"/>
      <c r="H43" s="79"/>
      <c r="I43" s="80"/>
      <c r="J43" s="79">
        <v>7.2499999999999995E-2</v>
      </c>
      <c r="K43" s="80">
        <f>C43*E43*J43/100</f>
        <v>118325.8725</v>
      </c>
      <c r="L43" s="79">
        <v>20</v>
      </c>
      <c r="M43" s="81">
        <f>F43-F42</f>
        <v>1010323</v>
      </c>
      <c r="N43" s="79">
        <v>950</v>
      </c>
      <c r="O43" s="79">
        <v>950</v>
      </c>
      <c r="P43" s="81">
        <f t="shared" ref="P43" si="49">M43*N43/C42</f>
        <v>505161.5</v>
      </c>
      <c r="Q43" s="81">
        <f t="shared" ref="Q43" si="50">M43*O43/C42</f>
        <v>505161.5</v>
      </c>
      <c r="R43" s="79"/>
      <c r="S43" s="80">
        <f t="shared" ref="S43" si="51">-C43*E43+K43+F43</f>
        <v>8813934.8725000024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3"/>
        <v>0</v>
      </c>
      <c r="L52" s="76">
        <f t="shared" ref="L52" si="52">(E52*(1+J52/100)+I52/C52)/(1-J53/100)</f>
        <v>0</v>
      </c>
      <c r="M52" s="78"/>
      <c r="N52" s="76"/>
      <c r="O52" s="76"/>
      <c r="P52" s="78"/>
      <c r="Q52" s="78"/>
      <c r="R52" s="76"/>
      <c r="S52" s="89">
        <f t="shared" ref="S52" si="53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3"/>
        <v>0</v>
      </c>
      <c r="L53" s="76">
        <v>21</v>
      </c>
      <c r="M53" s="78">
        <f t="shared" ref="M53" si="54">F53-F52</f>
        <v>0</v>
      </c>
      <c r="N53" s="76">
        <v>50</v>
      </c>
      <c r="O53" s="76">
        <v>50</v>
      </c>
      <c r="P53" s="78">
        <f t="shared" ref="P53" si="55">M53*N53/C52</f>
        <v>0</v>
      </c>
      <c r="Q53" s="78">
        <f t="shared" ref="Q53" si="56">M53*O53/C52</f>
        <v>0</v>
      </c>
      <c r="R53" s="76"/>
      <c r="S53" s="89">
        <f t="shared" ref="S53" si="57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3"/>
        <v>0</v>
      </c>
      <c r="L54" s="79">
        <f t="shared" ref="L54" si="58">(E54*(1+J54/100)+I54/C54)/(1-J55/100)</f>
        <v>0</v>
      </c>
      <c r="M54" s="79"/>
      <c r="N54" s="79"/>
      <c r="O54" s="79"/>
      <c r="P54" s="79"/>
      <c r="Q54" s="79"/>
      <c r="R54" s="79"/>
      <c r="S54" s="80">
        <f t="shared" ref="S54" si="59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3"/>
        <v>0</v>
      </c>
      <c r="L55" s="79">
        <v>22</v>
      </c>
      <c r="M55" s="79">
        <f t="shared" ref="M55" si="60">F55-F54</f>
        <v>0</v>
      </c>
      <c r="N55" s="79">
        <v>50</v>
      </c>
      <c r="O55" s="79">
        <v>50</v>
      </c>
      <c r="P55" s="79">
        <f t="shared" ref="P55" si="61">M55*N55/C54</f>
        <v>0</v>
      </c>
      <c r="Q55" s="79">
        <f t="shared" ref="Q55" si="62">M55*O55/C54</f>
        <v>0</v>
      </c>
      <c r="R55" s="79"/>
      <c r="S55" s="80">
        <f t="shared" ref="S55" si="63">-C55*E55+K55+F55</f>
        <v>0</v>
      </c>
    </row>
    <row r="56" spans="1:20" x14ac:dyDescent="0.25">
      <c r="A56" s="16" t="s">
        <v>1108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4"/>
      <c r="T56" t="s">
        <v>25</v>
      </c>
    </row>
    <row r="57" spans="1:20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4"/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4"/>
    </row>
    <row r="59" spans="1:20" x14ac:dyDescent="0.25">
      <c r="A59" s="83" t="s">
        <v>25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4"/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4">-C60*E60+K60+F60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65">C61*E61+K61-F61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84">
        <f t="shared" ref="S62" si="66">-C62*E62+K62+F62</f>
        <v>0</v>
      </c>
      <c r="T62" t="s">
        <v>25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84">
        <f t="shared" ref="S63" si="67">C63*E63+K63-F63</f>
        <v>0</v>
      </c>
    </row>
    <row r="64" spans="1:20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4">
        <f t="shared" ref="S64" si="68">-C64*E64+K64+F64</f>
        <v>0</v>
      </c>
    </row>
    <row r="65" spans="1:19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6"/>
      <c r="Q65" s="16"/>
      <c r="R65" s="16"/>
      <c r="S65" s="14">
        <f t="shared" ref="S65" si="69">C65*E65+K65-F65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84">
        <f t="shared" ref="S66" si="70">-C66*E66+K66+F66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84">
        <f t="shared" ref="S67" si="71">C67*E67+K67-F67</f>
        <v>0</v>
      </c>
    </row>
    <row r="68" spans="1:19" x14ac:dyDescent="0.25">
      <c r="A68" s="83"/>
      <c r="B68" s="83"/>
      <c r="C68" s="83"/>
      <c r="D68" s="83"/>
      <c r="E68" s="83"/>
      <c r="F68" s="83"/>
      <c r="G68" s="83"/>
      <c r="H68" s="83"/>
      <c r="I68" s="84"/>
      <c r="J68" s="83"/>
      <c r="K68" s="83"/>
      <c r="L68" s="83"/>
      <c r="M68" s="83"/>
      <c r="N68" s="83"/>
      <c r="O68" s="83"/>
      <c r="P68" s="83"/>
      <c r="Q68" s="83"/>
      <c r="R68" s="83"/>
      <c r="S68" s="84">
        <f t="shared" ref="S68" si="72">-C68*E68+K68+F68</f>
        <v>0</v>
      </c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2"/>
      <c r="O69" s="82"/>
      <c r="P69" s="11"/>
      <c r="Q69" s="11"/>
      <c r="R69" s="11"/>
    </row>
    <row r="70" spans="1:19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SUM(M2:M68)</f>
        <v>6203615</v>
      </c>
      <c r="N70" s="11"/>
      <c r="O70" s="11"/>
      <c r="P70" s="3">
        <f>SUM(P2:P69)</f>
        <v>3802449.5</v>
      </c>
      <c r="Q70" s="3">
        <f>SUM(Q3:Q69)</f>
        <v>2401165.5</v>
      </c>
      <c r="R70" s="11"/>
      <c r="S70" t="s">
        <v>25</v>
      </c>
    </row>
    <row r="71" spans="1:19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1" t="s">
        <v>1052</v>
      </c>
      <c r="Q71" s="11" t="s">
        <v>1053</v>
      </c>
      <c r="R71" s="11"/>
      <c r="S71" t="s">
        <v>25</v>
      </c>
    </row>
    <row r="72" spans="1:19" x14ac:dyDescent="0.25">
      <c r="A72" s="25"/>
    </row>
    <row r="73" spans="1:19" x14ac:dyDescent="0.25">
      <c r="A73" s="25"/>
    </row>
    <row r="74" spans="1:19" x14ac:dyDescent="0.25">
      <c r="F74" s="7"/>
    </row>
    <row r="85" spans="4:14" x14ac:dyDescent="0.25">
      <c r="D85" t="s">
        <v>25</v>
      </c>
    </row>
    <row r="86" spans="4:14" x14ac:dyDescent="0.25">
      <c r="G86" s="25"/>
    </row>
    <row r="87" spans="4:14" x14ac:dyDescent="0.25">
      <c r="I87" s="25"/>
    </row>
    <row r="88" spans="4:14" x14ac:dyDescent="0.25">
      <c r="I88" s="25"/>
    </row>
    <row r="89" spans="4:14" x14ac:dyDescent="0.25">
      <c r="I89" s="28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D20" sqref="AD20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984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1088</v>
      </c>
      <c r="M1" s="11" t="s">
        <v>997</v>
      </c>
      <c r="N1" s="11" t="s">
        <v>1078</v>
      </c>
      <c r="O1" s="11" t="s">
        <v>999</v>
      </c>
      <c r="P1" s="11" t="s">
        <v>1084</v>
      </c>
      <c r="Q1" s="11" t="s">
        <v>1000</v>
      </c>
      <c r="R1" s="11" t="s">
        <v>1034</v>
      </c>
      <c r="S1" s="11" t="s">
        <v>1011</v>
      </c>
      <c r="T1" s="11" t="s">
        <v>966</v>
      </c>
      <c r="U1" s="69" t="s">
        <v>1083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980</v>
      </c>
      <c r="AD1" t="s">
        <v>1039</v>
      </c>
      <c r="AE1" t="s">
        <v>1040</v>
      </c>
      <c r="AI1">
        <v>0.51500000000000001</v>
      </c>
      <c r="AJ1" t="s">
        <v>1069</v>
      </c>
      <c r="AL1" t="s">
        <v>1079</v>
      </c>
      <c r="AM1" t="s">
        <v>1080</v>
      </c>
    </row>
    <row r="2" spans="1:39" x14ac:dyDescent="0.25">
      <c r="A2" s="92" t="s">
        <v>990</v>
      </c>
      <c r="B2" s="93">
        <f>$S2/(1+($AC$2-$O2+$P2)/36500)^$N2</f>
        <v>93317.429113807637</v>
      </c>
      <c r="C2" s="93">
        <f>$S2/(1+($AC$3-$O2+$P2)/36500)^$N2</f>
        <v>93438.110529591533</v>
      </c>
      <c r="D2" s="93">
        <f>$S2/(1+($AC$4-$O2+$P2)/36500)^$N2</f>
        <v>93589.183658668</v>
      </c>
      <c r="E2" s="93">
        <f>$S2/(1+($AC$5-$O2+$P2)/36500)^$N2</f>
        <v>93740.503120010704</v>
      </c>
      <c r="F2" s="93">
        <f>$S2/(1+($AC$6-$O2+$P2)/36500)^$N2</f>
        <v>93892.069318660855</v>
      </c>
      <c r="G2" s="93">
        <f>$S2/(1+($AC$7-$O2+$P2)/36500)^$N2</f>
        <v>94043.882660324161</v>
      </c>
      <c r="H2" s="93">
        <f>$S2/(1+($AC$8-$O2+$P2)/36500)^$N2</f>
        <v>94195.943551386095</v>
      </c>
      <c r="I2" s="93">
        <f>$S2/(1+($AC$9-$O2+$P2)/36500)^$N2</f>
        <v>94348.252398900251</v>
      </c>
      <c r="J2" s="93">
        <f>$S2/(1+($AC$10-$O2+$P2)/36500)^$N2</f>
        <v>94500.809610597658</v>
      </c>
      <c r="K2" s="93">
        <f>$S2/(1+($AC$11-$O2+$P2)/36500)^$N2</f>
        <v>94653.615594889634</v>
      </c>
      <c r="L2" s="93">
        <f>$S2/(1+($AC$5-$O2+$P2)/36500)^$N2</f>
        <v>93740.503120010704</v>
      </c>
      <c r="M2" s="92" t="s">
        <v>1020</v>
      </c>
      <c r="N2" s="92">
        <f>132-$AD$19</f>
        <v>118</v>
      </c>
      <c r="O2" s="92">
        <v>0</v>
      </c>
      <c r="P2" s="92">
        <v>0</v>
      </c>
      <c r="Q2" s="92">
        <v>0</v>
      </c>
      <c r="R2" s="92">
        <f t="shared" ref="R2:R29" si="0">N2/30.5</f>
        <v>3.8688524590163933</v>
      </c>
      <c r="S2" s="93">
        <v>100000</v>
      </c>
      <c r="T2" s="93">
        <v>93600</v>
      </c>
      <c r="U2" s="93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1070</v>
      </c>
    </row>
    <row r="3" spans="1:39" x14ac:dyDescent="0.25">
      <c r="A3" s="94" t="s">
        <v>991</v>
      </c>
      <c r="B3" s="95">
        <f t="shared" ref="B3:B29" si="2">$S3/(1+($AC$2-$O3+$P3)/36500)^$N3</f>
        <v>91422.568027758098</v>
      </c>
      <c r="C3" s="95">
        <f t="shared" ref="C3:C29" si="3">$S3/(1+($AC$3-$O3+$P3)/36500)^$N3</f>
        <v>91575.896826213968</v>
      </c>
      <c r="D3" s="95">
        <f t="shared" ref="D3:D29" si="4">$S3/(1+($AC$4-$O3+$P3)/36500)^$N3</f>
        <v>91767.921866798672</v>
      </c>
      <c r="E3" s="95">
        <f t="shared" ref="E3:E29" si="5">$S3/(1+($AC$5-$O3+$P3)/36500)^$N3</f>
        <v>91960.352201023998</v>
      </c>
      <c r="F3" s="95">
        <f t="shared" ref="F3:F29" si="6">$S3/(1+($AC$6-$O3+$P3)/36500)^$N3</f>
        <v>92153.188689885326</v>
      </c>
      <c r="G3" s="95">
        <f t="shared" ref="G3:G29" si="7">$S3/(1+($AC$7-$O3+$P3)/36500)^$N3</f>
        <v>92346.432196209818</v>
      </c>
      <c r="H3" s="95">
        <f t="shared" ref="H3:H29" si="8">$S3/(1+($AC$8-$O3+$P3)/36500)^$N3</f>
        <v>92540.083584678621</v>
      </c>
      <c r="I3" s="95">
        <f t="shared" ref="I3:I29" si="9">$S3/(1+($AC$9-$O3+$P3)/36500)^$N3</f>
        <v>92734.143721814457</v>
      </c>
      <c r="J3" s="95">
        <f t="shared" ref="J3:J29" si="10">$S3/(1+($AC$10-$O3+$P3)/36500)^$N3</f>
        <v>92928.613475995953</v>
      </c>
      <c r="K3" s="95">
        <f t="shared" ref="K3:K29" si="11">$S3/(1+($AC$11-$O3+$P3)/36500)^$N3</f>
        <v>93123.493717463964</v>
      </c>
      <c r="L3" s="95">
        <f t="shared" ref="L3:L29" si="12">$S3/(1+($AC$5-$O3+$P3)/36500)^$N3</f>
        <v>91960.352201023998</v>
      </c>
      <c r="M3" s="94" t="s">
        <v>1021</v>
      </c>
      <c r="N3" s="94">
        <f>167-$AD$19</f>
        <v>153</v>
      </c>
      <c r="O3" s="94">
        <v>0</v>
      </c>
      <c r="P3" s="94">
        <v>0</v>
      </c>
      <c r="Q3" s="94">
        <v>0</v>
      </c>
      <c r="R3" s="94">
        <f t="shared" si="0"/>
        <v>5.0163934426229506</v>
      </c>
      <c r="S3" s="95">
        <v>100000</v>
      </c>
      <c r="T3" s="95">
        <v>92000</v>
      </c>
      <c r="U3" s="95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6" t="s">
        <v>992</v>
      </c>
      <c r="B4" s="97">
        <f t="shared" si="2"/>
        <v>89881.721966334342</v>
      </c>
      <c r="C4" s="97">
        <f t="shared" si="3"/>
        <v>90061.06753463512</v>
      </c>
      <c r="D4" s="97">
        <f t="shared" si="4"/>
        <v>90285.755587499123</v>
      </c>
      <c r="E4" s="97">
        <f t="shared" si="5"/>
        <v>90511.00728907992</v>
      </c>
      <c r="F4" s="97">
        <f t="shared" si="6"/>
        <v>90736.824061088482</v>
      </c>
      <c r="G4" s="97">
        <f t="shared" si="7"/>
        <v>90963.207328830555</v>
      </c>
      <c r="H4" s="97">
        <f t="shared" si="8"/>
        <v>91190.158521237419</v>
      </c>
      <c r="I4" s="97">
        <f t="shared" si="9"/>
        <v>91417.679070855767</v>
      </c>
      <c r="J4" s="97">
        <f t="shared" si="10"/>
        <v>91645.770413869148</v>
      </c>
      <c r="K4" s="97">
        <f t="shared" si="11"/>
        <v>91874.433990109974</v>
      </c>
      <c r="L4" s="97">
        <f t="shared" si="12"/>
        <v>90511.00728907992</v>
      </c>
      <c r="M4" s="96" t="s">
        <v>1022</v>
      </c>
      <c r="N4" s="96">
        <f>196-$AD$19</f>
        <v>182</v>
      </c>
      <c r="O4" s="96">
        <v>0</v>
      </c>
      <c r="P4" s="96">
        <v>0</v>
      </c>
      <c r="Q4" s="96">
        <v>0</v>
      </c>
      <c r="R4" s="96">
        <f t="shared" si="0"/>
        <v>5.9672131147540988</v>
      </c>
      <c r="S4" s="97">
        <v>100000</v>
      </c>
      <c r="T4" s="97">
        <v>90500</v>
      </c>
      <c r="U4" s="97">
        <f t="shared" si="13"/>
        <v>100000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2" t="s">
        <v>993</v>
      </c>
      <c r="B5" s="93">
        <f t="shared" si="2"/>
        <v>70888.777371602904</v>
      </c>
      <c r="C5" s="93">
        <f t="shared" si="3"/>
        <v>71345.999623395997</v>
      </c>
      <c r="D5" s="93">
        <f t="shared" si="4"/>
        <v>71921.683841067555</v>
      </c>
      <c r="E5" s="93">
        <f t="shared" si="5"/>
        <v>72502.021178278679</v>
      </c>
      <c r="F5" s="93">
        <f t="shared" si="6"/>
        <v>73087.04930958894</v>
      </c>
      <c r="G5" s="93">
        <f t="shared" si="7"/>
        <v>73676.806215088727</v>
      </c>
      <c r="H5" s="93">
        <f t="shared" si="8"/>
        <v>74271.33018293741</v>
      </c>
      <c r="I5" s="93">
        <f t="shared" si="9"/>
        <v>74870.659811815931</v>
      </c>
      <c r="J5" s="93">
        <f t="shared" si="10"/>
        <v>75474.834013481566</v>
      </c>
      <c r="K5" s="93">
        <f t="shared" si="11"/>
        <v>76083.892015318896</v>
      </c>
      <c r="L5" s="93">
        <f t="shared" si="12"/>
        <v>72502.021178278679</v>
      </c>
      <c r="M5" s="92" t="s">
        <v>1023</v>
      </c>
      <c r="N5" s="92">
        <f>601-$AD$19</f>
        <v>587</v>
      </c>
      <c r="O5" s="92">
        <v>0</v>
      </c>
      <c r="P5" s="92">
        <v>0</v>
      </c>
      <c r="Q5" s="92">
        <v>0</v>
      </c>
      <c r="R5" s="92">
        <f t="shared" si="0"/>
        <v>19.245901639344261</v>
      </c>
      <c r="S5" s="93">
        <v>100000</v>
      </c>
      <c r="T5" s="93">
        <v>73200</v>
      </c>
      <c r="U5" s="93">
        <f t="shared" si="13"/>
        <v>100000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974</v>
      </c>
      <c r="AC5">
        <v>20</v>
      </c>
    </row>
    <row r="6" spans="1:39" x14ac:dyDescent="0.25">
      <c r="A6" s="94" t="s">
        <v>994</v>
      </c>
      <c r="B6" s="95">
        <f t="shared" si="2"/>
        <v>85965.732616275694</v>
      </c>
      <c r="C6" s="95">
        <f t="shared" si="3"/>
        <v>86208.994338214325</v>
      </c>
      <c r="D6" s="95">
        <f t="shared" si="4"/>
        <v>86514.043505002293</v>
      </c>
      <c r="E6" s="95">
        <f t="shared" si="5"/>
        <v>86820.176282075714</v>
      </c>
      <c r="F6" s="95">
        <f t="shared" si="6"/>
        <v>87127.396533608946</v>
      </c>
      <c r="G6" s="95">
        <f t="shared" si="7"/>
        <v>87435.708137594615</v>
      </c>
      <c r="H6" s="95">
        <f t="shared" si="8"/>
        <v>87745.114985922512</v>
      </c>
      <c r="I6" s="95">
        <f t="shared" si="9"/>
        <v>88055.620984403344</v>
      </c>
      <c r="J6" s="95">
        <f t="shared" si="10"/>
        <v>88367.230052835264</v>
      </c>
      <c r="K6" s="95">
        <f t="shared" si="11"/>
        <v>88679.946125057992</v>
      </c>
      <c r="L6" s="95">
        <f t="shared" si="12"/>
        <v>86820.176282075714</v>
      </c>
      <c r="M6" s="94" t="s">
        <v>1024</v>
      </c>
      <c r="N6" s="94">
        <f>272-$AD$19</f>
        <v>258</v>
      </c>
      <c r="O6" s="94">
        <v>0</v>
      </c>
      <c r="P6" s="94">
        <v>0</v>
      </c>
      <c r="Q6" s="94">
        <v>0</v>
      </c>
      <c r="R6" s="94">
        <f t="shared" si="0"/>
        <v>8.4590163934426226</v>
      </c>
      <c r="S6" s="95">
        <v>100000</v>
      </c>
      <c r="T6" s="95">
        <v>87200</v>
      </c>
      <c r="U6" s="95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6" t="s">
        <v>995</v>
      </c>
      <c r="B7" s="97">
        <f t="shared" si="2"/>
        <v>72061.776683235628</v>
      </c>
      <c r="C7" s="97">
        <f t="shared" si="3"/>
        <v>72504.326211091495</v>
      </c>
      <c r="D7" s="97">
        <f t="shared" si="4"/>
        <v>73061.343881996465</v>
      </c>
      <c r="E7" s="97">
        <f t="shared" si="5"/>
        <v>73622.648579799439</v>
      </c>
      <c r="F7" s="97">
        <f t="shared" si="6"/>
        <v>74188.273358529987</v>
      </c>
      <c r="G7" s="97">
        <f t="shared" si="7"/>
        <v>74758.251527503133</v>
      </c>
      <c r="H7" s="97">
        <f t="shared" si="8"/>
        <v>75332.616653348756</v>
      </c>
      <c r="I7" s="97">
        <f t="shared" si="9"/>
        <v>75911.402561954004</v>
      </c>
      <c r="J7" s="97">
        <f t="shared" si="10"/>
        <v>76494.643340500435</v>
      </c>
      <c r="K7" s="97">
        <f t="shared" si="11"/>
        <v>77082.373339493002</v>
      </c>
      <c r="L7" s="97">
        <f t="shared" si="12"/>
        <v>73622.648579799439</v>
      </c>
      <c r="M7" s="96" t="s">
        <v>1025</v>
      </c>
      <c r="N7" s="96">
        <f>573-$AD$19</f>
        <v>559</v>
      </c>
      <c r="O7" s="96">
        <v>0</v>
      </c>
      <c r="P7" s="96">
        <v>0</v>
      </c>
      <c r="Q7" s="96">
        <v>0</v>
      </c>
      <c r="R7" s="96">
        <f t="shared" si="0"/>
        <v>18.327868852459016</v>
      </c>
      <c r="S7" s="97">
        <v>100000</v>
      </c>
      <c r="T7" s="97">
        <v>73600</v>
      </c>
      <c r="U7" s="97">
        <f t="shared" si="13"/>
        <v>100000.00000000001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2" t="s">
        <v>996</v>
      </c>
      <c r="B8" s="93">
        <f t="shared" si="2"/>
        <v>85263.200182259956</v>
      </c>
      <c r="C8" s="93">
        <f t="shared" si="3"/>
        <v>85517.585796265179</v>
      </c>
      <c r="D8" s="93">
        <f t="shared" si="4"/>
        <v>85836.639316319168</v>
      </c>
      <c r="E8" s="93">
        <f t="shared" si="5"/>
        <v>86156.887570710343</v>
      </c>
      <c r="F8" s="93">
        <f t="shared" si="6"/>
        <v>86478.335049721878</v>
      </c>
      <c r="G8" s="93">
        <f t="shared" si="7"/>
        <v>86800.986260559643</v>
      </c>
      <c r="H8" s="93">
        <f t="shared" si="8"/>
        <v>87124.845727446969</v>
      </c>
      <c r="I8" s="93">
        <f t="shared" si="9"/>
        <v>87449.917991661627</v>
      </c>
      <c r="J8" s="93">
        <f t="shared" si="10"/>
        <v>87776.207611617661</v>
      </c>
      <c r="K8" s="93">
        <f t="shared" si="11"/>
        <v>88103.719162934314</v>
      </c>
      <c r="L8" s="93">
        <f t="shared" si="12"/>
        <v>86156.887570710343</v>
      </c>
      <c r="M8" s="92" t="s">
        <v>1027</v>
      </c>
      <c r="N8" s="92">
        <f>286-$AD$19</f>
        <v>272</v>
      </c>
      <c r="O8" s="92">
        <v>0</v>
      </c>
      <c r="P8" s="92">
        <v>0</v>
      </c>
      <c r="Q8" s="92">
        <v>0</v>
      </c>
      <c r="R8" s="92">
        <f t="shared" si="0"/>
        <v>8.9180327868852451</v>
      </c>
      <c r="S8" s="93">
        <v>100000</v>
      </c>
      <c r="T8" s="93">
        <v>86700</v>
      </c>
      <c r="U8" s="93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4" t="s">
        <v>1012</v>
      </c>
      <c r="B9" s="95">
        <f t="shared" si="2"/>
        <v>76591.12704471231</v>
      </c>
      <c r="C9" s="95">
        <f t="shared" si="3"/>
        <v>76973.764422542677</v>
      </c>
      <c r="D9" s="95">
        <f t="shared" si="4"/>
        <v>77454.756391188799</v>
      </c>
      <c r="E9" s="95">
        <f t="shared" si="5"/>
        <v>77938.760618967877</v>
      </c>
      <c r="F9" s="95">
        <f t="shared" si="6"/>
        <v>78425.796012086794</v>
      </c>
      <c r="G9" s="95">
        <f t="shared" si="7"/>
        <v>78915.881595653889</v>
      </c>
      <c r="H9" s="95">
        <f t="shared" si="8"/>
        <v>79409.036514474865</v>
      </c>
      <c r="I9" s="95">
        <f t="shared" si="9"/>
        <v>79905.280033765492</v>
      </c>
      <c r="J9" s="95">
        <f t="shared" si="10"/>
        <v>80404.631539937429</v>
      </c>
      <c r="K9" s="95">
        <f t="shared" si="11"/>
        <v>80907.110541368165</v>
      </c>
      <c r="L9" s="95">
        <f t="shared" si="12"/>
        <v>77938.760618967877</v>
      </c>
      <c r="M9" s="94" t="s">
        <v>1026</v>
      </c>
      <c r="N9" s="94">
        <f>469-$AD$19</f>
        <v>455</v>
      </c>
      <c r="O9" s="94">
        <v>0</v>
      </c>
      <c r="P9" s="94">
        <v>0</v>
      </c>
      <c r="Q9" s="94">
        <v>0</v>
      </c>
      <c r="R9" s="94">
        <f t="shared" si="0"/>
        <v>14.918032786885245</v>
      </c>
      <c r="S9" s="95">
        <v>100000</v>
      </c>
      <c r="T9" s="95">
        <v>78300</v>
      </c>
      <c r="U9" s="95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6" t="s">
        <v>1013</v>
      </c>
      <c r="B10" s="97">
        <f t="shared" si="2"/>
        <v>76591.12704471231</v>
      </c>
      <c r="C10" s="97">
        <f t="shared" si="3"/>
        <v>76973.764422542677</v>
      </c>
      <c r="D10" s="97">
        <f t="shared" si="4"/>
        <v>77454.756391188799</v>
      </c>
      <c r="E10" s="97">
        <f t="shared" si="5"/>
        <v>77938.760618967877</v>
      </c>
      <c r="F10" s="97">
        <f t="shared" si="6"/>
        <v>78425.796012086794</v>
      </c>
      <c r="G10" s="97">
        <f t="shared" si="7"/>
        <v>78915.881595653889</v>
      </c>
      <c r="H10" s="97">
        <f t="shared" si="8"/>
        <v>79409.036514474865</v>
      </c>
      <c r="I10" s="97">
        <f t="shared" si="9"/>
        <v>79905.280033765492</v>
      </c>
      <c r="J10" s="97">
        <f t="shared" si="10"/>
        <v>80404.631539937429</v>
      </c>
      <c r="K10" s="97">
        <f t="shared" si="11"/>
        <v>80907.110541368165</v>
      </c>
      <c r="L10" s="97">
        <f t="shared" si="12"/>
        <v>77938.760618967877</v>
      </c>
      <c r="M10" s="96" t="s">
        <v>1026</v>
      </c>
      <c r="N10" s="96">
        <f>469-$AD$19</f>
        <v>455</v>
      </c>
      <c r="O10" s="96">
        <v>0</v>
      </c>
      <c r="P10" s="96">
        <v>0</v>
      </c>
      <c r="Q10" s="96">
        <v>0</v>
      </c>
      <c r="R10" s="96">
        <f t="shared" si="0"/>
        <v>14.918032786885245</v>
      </c>
      <c r="S10" s="97">
        <v>100000</v>
      </c>
      <c r="T10" s="97">
        <v>77700</v>
      </c>
      <c r="U10" s="97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2" t="s">
        <v>1014</v>
      </c>
      <c r="B11" s="93">
        <f t="shared" si="2"/>
        <v>70021.575225678738</v>
      </c>
      <c r="C11" s="93">
        <f t="shared" si="3"/>
        <v>70489.415090840688</v>
      </c>
      <c r="D11" s="93">
        <f t="shared" si="4"/>
        <v>71078.620327185432</v>
      </c>
      <c r="E11" s="93">
        <f t="shared" si="5"/>
        <v>71672.758766315848</v>
      </c>
      <c r="F11" s="93">
        <f t="shared" si="6"/>
        <v>72271.871780562928</v>
      </c>
      <c r="G11" s="93">
        <f t="shared" si="7"/>
        <v>72876.001089771773</v>
      </c>
      <c r="H11" s="93">
        <f t="shared" si="8"/>
        <v>73485.188764282982</v>
      </c>
      <c r="I11" s="93">
        <f t="shared" si="9"/>
        <v>74099.477227830401</v>
      </c>
      <c r="J11" s="93">
        <f t="shared" si="10"/>
        <v>74718.909260547167</v>
      </c>
      <c r="K11" s="93">
        <f t="shared" si="11"/>
        <v>75343.52800197262</v>
      </c>
      <c r="L11" s="93">
        <f t="shared" si="12"/>
        <v>71672.758766315848</v>
      </c>
      <c r="M11" s="92" t="s">
        <v>1030</v>
      </c>
      <c r="N11" s="92">
        <f>622-$AD$19</f>
        <v>608</v>
      </c>
      <c r="O11" s="92">
        <v>0</v>
      </c>
      <c r="P11" s="92">
        <v>0</v>
      </c>
      <c r="Q11" s="92">
        <v>0</v>
      </c>
      <c r="R11" s="92">
        <f t="shared" si="0"/>
        <v>19.934426229508198</v>
      </c>
      <c r="S11" s="93">
        <v>100000</v>
      </c>
      <c r="T11" s="93">
        <v>71800</v>
      </c>
      <c r="U11" s="93">
        <f t="shared" si="13"/>
        <v>100000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4" t="s">
        <v>1015</v>
      </c>
      <c r="B12" s="95">
        <f>$S12/(1+($AC$2-$O12+$P12)/36500)^$N12</f>
        <v>86623.266278477749</v>
      </c>
      <c r="C12" s="95">
        <f>$S12/(1+($AC$3-$O12+$P12)/36500)^$N12</f>
        <v>86856.020951754705</v>
      </c>
      <c r="D12" s="95">
        <f t="shared" si="4"/>
        <v>87147.847569626843</v>
      </c>
      <c r="E12" s="95">
        <f t="shared" si="5"/>
        <v>87440.658708194169</v>
      </c>
      <c r="F12" s="95">
        <f t="shared" si="6"/>
        <v>87734.457702438463</v>
      </c>
      <c r="G12" s="95">
        <f t="shared" si="7"/>
        <v>88029.247898670335</v>
      </c>
      <c r="H12" s="95">
        <f t="shared" si="8"/>
        <v>88325.032654595925</v>
      </c>
      <c r="I12" s="95">
        <f t="shared" si="9"/>
        <v>88621.81533933086</v>
      </c>
      <c r="J12" s="95">
        <f t="shared" si="10"/>
        <v>88919.599333454695</v>
      </c>
      <c r="K12" s="95">
        <f t="shared" si="11"/>
        <v>89218.388029054084</v>
      </c>
      <c r="L12" s="95">
        <f t="shared" si="12"/>
        <v>87440.658708194169</v>
      </c>
      <c r="M12" s="94" t="s">
        <v>1031</v>
      </c>
      <c r="N12" s="94">
        <f>259-$AD$19</f>
        <v>245</v>
      </c>
      <c r="O12" s="94">
        <v>0</v>
      </c>
      <c r="P12" s="94">
        <v>0</v>
      </c>
      <c r="Q12" s="94">
        <v>0</v>
      </c>
      <c r="R12" s="94">
        <f t="shared" si="0"/>
        <v>8.0327868852459012</v>
      </c>
      <c r="S12" s="95">
        <v>100000</v>
      </c>
      <c r="T12" s="95">
        <v>86600</v>
      </c>
      <c r="U12" s="95">
        <f t="shared" si="13"/>
        <v>100000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6" t="s">
        <v>1016</v>
      </c>
      <c r="B13" s="97">
        <f t="shared" si="2"/>
        <v>67483.103609032885</v>
      </c>
      <c r="C13" s="97">
        <f t="shared" si="3"/>
        <v>67980.874328993144</v>
      </c>
      <c r="D13" s="97">
        <f t="shared" si="4"/>
        <v>68608.261950355736</v>
      </c>
      <c r="E13" s="97">
        <f t="shared" si="5"/>
        <v>69241.448368195095</v>
      </c>
      <c r="F13" s="97">
        <f t="shared" si="6"/>
        <v>69880.487259934976</v>
      </c>
      <c r="G13" s="97">
        <f t="shared" si="7"/>
        <v>70525.432800586845</v>
      </c>
      <c r="H13" s="97">
        <f t="shared" si="8"/>
        <v>71176.339667430671</v>
      </c>
      <c r="I13" s="97">
        <f t="shared" si="9"/>
        <v>71833.263044623309</v>
      </c>
      <c r="J13" s="97">
        <f t="shared" si="10"/>
        <v>72496.258627939373</v>
      </c>
      <c r="K13" s="97">
        <f t="shared" si="11"/>
        <v>73165.38262953001</v>
      </c>
      <c r="L13" s="97">
        <f t="shared" si="12"/>
        <v>69241.448368195095</v>
      </c>
      <c r="M13" s="96" t="s">
        <v>1032</v>
      </c>
      <c r="N13" s="96">
        <f>685-$AD$19</f>
        <v>671</v>
      </c>
      <c r="O13" s="96">
        <v>0</v>
      </c>
      <c r="P13" s="96">
        <v>0</v>
      </c>
      <c r="Q13" s="96">
        <v>0</v>
      </c>
      <c r="R13" s="96">
        <f t="shared" si="0"/>
        <v>22</v>
      </c>
      <c r="S13" s="97">
        <v>100000</v>
      </c>
      <c r="T13" s="97">
        <v>70000</v>
      </c>
      <c r="U13" s="97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2" t="s">
        <v>1017</v>
      </c>
      <c r="B14" s="93">
        <f t="shared" si="2"/>
        <v>68599.749106602787</v>
      </c>
      <c r="C14" s="93">
        <f t="shared" si="3"/>
        <v>69084.566962157041</v>
      </c>
      <c r="D14" s="93">
        <f t="shared" si="4"/>
        <v>69695.418012986149</v>
      </c>
      <c r="E14" s="93">
        <f t="shared" si="5"/>
        <v>70311.678730071275</v>
      </c>
      <c r="F14" s="93">
        <f t="shared" si="6"/>
        <v>70933.39709620965</v>
      </c>
      <c r="G14" s="93">
        <f t="shared" si="7"/>
        <v>71560.621520433546</v>
      </c>
      <c r="H14" s="93">
        <f t="shared" si="8"/>
        <v>72193.400841862123</v>
      </c>
      <c r="I14" s="93">
        <f t="shared" si="9"/>
        <v>72831.78433347473</v>
      </c>
      <c r="J14" s="93">
        <f t="shared" si="10"/>
        <v>73475.821706005067</v>
      </c>
      <c r="K14" s="93">
        <f t="shared" si="11"/>
        <v>74125.563111844574</v>
      </c>
      <c r="L14" s="93">
        <f t="shared" si="12"/>
        <v>70311.678730071275</v>
      </c>
      <c r="M14" s="92" t="s">
        <v>1033</v>
      </c>
      <c r="N14" s="92">
        <f>657-$AD$19</f>
        <v>643</v>
      </c>
      <c r="O14" s="92">
        <v>0</v>
      </c>
      <c r="P14" s="92">
        <v>0</v>
      </c>
      <c r="Q14" s="92">
        <v>0</v>
      </c>
      <c r="R14" s="92">
        <f t="shared" si="0"/>
        <v>21.081967213114755</v>
      </c>
      <c r="S14" s="93">
        <v>100000</v>
      </c>
      <c r="T14" s="93">
        <v>70700</v>
      </c>
      <c r="U14" s="93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4" t="s">
        <v>1018</v>
      </c>
      <c r="B15" s="95">
        <f t="shared" si="2"/>
        <v>68599.749106602787</v>
      </c>
      <c r="C15" s="95">
        <f t="shared" si="3"/>
        <v>69084.566962157041</v>
      </c>
      <c r="D15" s="95">
        <f t="shared" si="4"/>
        <v>69695.418012986149</v>
      </c>
      <c r="E15" s="95">
        <f t="shared" si="5"/>
        <v>70311.678730071275</v>
      </c>
      <c r="F15" s="95">
        <f t="shared" si="6"/>
        <v>70933.39709620965</v>
      </c>
      <c r="G15" s="95">
        <f t="shared" si="7"/>
        <v>71560.621520433546</v>
      </c>
      <c r="H15" s="95">
        <f t="shared" si="8"/>
        <v>72193.400841862123</v>
      </c>
      <c r="I15" s="95">
        <f t="shared" si="9"/>
        <v>72831.78433347473</v>
      </c>
      <c r="J15" s="95">
        <f t="shared" si="10"/>
        <v>73475.821706005067</v>
      </c>
      <c r="K15" s="95">
        <f t="shared" si="11"/>
        <v>74125.563111844574</v>
      </c>
      <c r="L15" s="95">
        <f t="shared" si="12"/>
        <v>70311.678730071275</v>
      </c>
      <c r="M15" s="94" t="s">
        <v>1033</v>
      </c>
      <c r="N15" s="94">
        <f>657-$AD$19</f>
        <v>643</v>
      </c>
      <c r="O15" s="94">
        <v>0</v>
      </c>
      <c r="P15" s="94">
        <v>0</v>
      </c>
      <c r="Q15" s="94">
        <v>0</v>
      </c>
      <c r="R15" s="94">
        <f t="shared" si="0"/>
        <v>21.081967213114755</v>
      </c>
      <c r="S15" s="95">
        <v>100000</v>
      </c>
      <c r="T15" s="95">
        <v>71000</v>
      </c>
      <c r="U15" s="95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7">
        <f>AE2*((1+$AC$2/36500)^365)</f>
        <v>123854.4983528483</v>
      </c>
      <c r="AD15">
        <v>21.4</v>
      </c>
      <c r="AF15" s="26"/>
    </row>
    <row r="16" spans="1:39" x14ac:dyDescent="0.25">
      <c r="A16" s="96" t="s">
        <v>1019</v>
      </c>
      <c r="B16" s="97">
        <f t="shared" si="2"/>
        <v>70888.777371602904</v>
      </c>
      <c r="C16" s="97">
        <f t="shared" si="3"/>
        <v>71345.999623395997</v>
      </c>
      <c r="D16" s="97">
        <f t="shared" si="4"/>
        <v>71921.683841067555</v>
      </c>
      <c r="E16" s="97">
        <f t="shared" si="5"/>
        <v>72502.021178278679</v>
      </c>
      <c r="F16" s="97">
        <f t="shared" si="6"/>
        <v>73087.04930958894</v>
      </c>
      <c r="G16" s="97">
        <f t="shared" si="7"/>
        <v>73676.806215088727</v>
      </c>
      <c r="H16" s="97">
        <f t="shared" si="8"/>
        <v>74271.33018293741</v>
      </c>
      <c r="I16" s="97">
        <f t="shared" si="9"/>
        <v>74870.659811815931</v>
      </c>
      <c r="J16" s="97">
        <f t="shared" si="10"/>
        <v>75474.834013481566</v>
      </c>
      <c r="K16" s="97">
        <f t="shared" si="11"/>
        <v>76083.892015318896</v>
      </c>
      <c r="L16" s="97">
        <f t="shared" si="12"/>
        <v>72502.021178278679</v>
      </c>
      <c r="M16" s="96" t="s">
        <v>1023</v>
      </c>
      <c r="N16" s="96">
        <f>601-$AD$19</f>
        <v>587</v>
      </c>
      <c r="O16" s="96">
        <v>0</v>
      </c>
      <c r="P16" s="96">
        <v>0</v>
      </c>
      <c r="Q16" s="96">
        <v>0</v>
      </c>
      <c r="R16" s="96">
        <f t="shared" si="0"/>
        <v>19.245901639344261</v>
      </c>
      <c r="S16" s="97">
        <v>100000</v>
      </c>
      <c r="T16" s="97">
        <v>73100</v>
      </c>
      <c r="U16" s="97">
        <f t="shared" si="13"/>
        <v>100000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2" t="s">
        <v>1037</v>
      </c>
      <c r="B17" s="93">
        <f t="shared" si="2"/>
        <v>82930.608945101834</v>
      </c>
      <c r="C17" s="93">
        <f t="shared" si="3"/>
        <v>84196.926459953582</v>
      </c>
      <c r="D17" s="93">
        <f t="shared" si="4"/>
        <v>85807.069376221625</v>
      </c>
      <c r="E17" s="93">
        <f t="shared" si="5"/>
        <v>87448.026607595428</v>
      </c>
      <c r="F17" s="93">
        <f t="shared" si="6"/>
        <v>89120.388301134488</v>
      </c>
      <c r="G17" s="93">
        <f t="shared" si="7"/>
        <v>90824.755914636713</v>
      </c>
      <c r="H17" s="93">
        <f t="shared" si="8"/>
        <v>92561.742433501029</v>
      </c>
      <c r="I17" s="93">
        <f t="shared" si="9"/>
        <v>94331.972591669968</v>
      </c>
      <c r="J17" s="93">
        <f t="shared" si="10"/>
        <v>96136.083097314171</v>
      </c>
      <c r="K17" s="93">
        <f t="shared" si="11"/>
        <v>97974.722862146504</v>
      </c>
      <c r="L17" s="93">
        <f t="shared" si="12"/>
        <v>87448.026607595428</v>
      </c>
      <c r="M17" s="92" t="s">
        <v>1038</v>
      </c>
      <c r="N17" s="92">
        <f>1397-$AD$19</f>
        <v>1383</v>
      </c>
      <c r="O17" s="92">
        <v>17</v>
      </c>
      <c r="P17" s="92">
        <f>$AI$2</f>
        <v>0.54</v>
      </c>
      <c r="Q17" s="92">
        <v>6</v>
      </c>
      <c r="R17" s="92">
        <f t="shared" si="0"/>
        <v>45.344262295081968</v>
      </c>
      <c r="S17" s="93">
        <v>100000</v>
      </c>
      <c r="T17" s="93">
        <v>96000</v>
      </c>
      <c r="U17" s="93">
        <f t="shared" si="13"/>
        <v>186535.46951510431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4" t="s">
        <v>985</v>
      </c>
      <c r="B18" s="95">
        <f>$S18/(1+($AC$2-$O18+$P18)/36500)^$N18</f>
        <v>98630.711381747475</v>
      </c>
      <c r="C18" s="95">
        <f t="shared" si="3"/>
        <v>99226.981353806143</v>
      </c>
      <c r="D18" s="95">
        <f>$S18/(1+($AC$4-$O18+$P18)/36500)^$N18</f>
        <v>99977.399819146944</v>
      </c>
      <c r="E18" s="95">
        <f t="shared" si="5"/>
        <v>100733.50382975032</v>
      </c>
      <c r="F18" s="95">
        <f t="shared" si="6"/>
        <v>101495.33654092983</v>
      </c>
      <c r="G18" s="95">
        <f t="shared" si="7"/>
        <v>102262.94143614647</v>
      </c>
      <c r="H18" s="95">
        <f t="shared" si="8"/>
        <v>103036.36232953567</v>
      </c>
      <c r="I18" s="95">
        <f t="shared" si="9"/>
        <v>103815.6433683903</v>
      </c>
      <c r="J18" s="95">
        <f t="shared" si="10"/>
        <v>104600.82903575223</v>
      </c>
      <c r="K18" s="95">
        <f t="shared" si="11"/>
        <v>105391.96415292533</v>
      </c>
      <c r="L18" s="95">
        <f t="shared" si="12"/>
        <v>100733.50382975032</v>
      </c>
      <c r="M18" s="94" t="s">
        <v>1004</v>
      </c>
      <c r="N18" s="94">
        <f>564-$AD$19</f>
        <v>550</v>
      </c>
      <c r="O18" s="94">
        <v>21</v>
      </c>
      <c r="P18" s="94">
        <f t="shared" ref="P18:P23" si="17">$AI$1</f>
        <v>0.51500000000000001</v>
      </c>
      <c r="Q18" s="94">
        <v>3</v>
      </c>
      <c r="R18" s="94">
        <f t="shared" si="0"/>
        <v>18.032786885245901</v>
      </c>
      <c r="S18" s="95">
        <v>100000</v>
      </c>
      <c r="T18" s="95">
        <v>100000</v>
      </c>
      <c r="U18" s="95">
        <f t="shared" si="13"/>
        <v>136149.55448412625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1035</v>
      </c>
      <c r="AD18" t="s">
        <v>1077</v>
      </c>
      <c r="AF18" s="26"/>
    </row>
    <row r="19" spans="1:32" x14ac:dyDescent="0.25">
      <c r="A19" s="96" t="s">
        <v>986</v>
      </c>
      <c r="B19" s="97">
        <f t="shared" si="2"/>
        <v>91221.677607341393</v>
      </c>
      <c r="C19" s="97">
        <f t="shared" si="3"/>
        <v>91790.177020685413</v>
      </c>
      <c r="D19" s="97">
        <f t="shared" si="4"/>
        <v>92505.794966035945</v>
      </c>
      <c r="E19" s="97">
        <f t="shared" si="5"/>
        <v>93227.001954807245</v>
      </c>
      <c r="F19" s="97">
        <f t="shared" si="6"/>
        <v>93953.841715376853</v>
      </c>
      <c r="G19" s="97">
        <f t="shared" si="7"/>
        <v>94686.358318908562</v>
      </c>
      <c r="H19" s="97">
        <f t="shared" si="8"/>
        <v>95424.596181949353</v>
      </c>
      <c r="I19" s="97">
        <f t="shared" si="9"/>
        <v>96168.600069211898</v>
      </c>
      <c r="J19" s="97">
        <f t="shared" si="10"/>
        <v>96918.415096285127</v>
      </c>
      <c r="K19" s="97">
        <f t="shared" si="11"/>
        <v>97674.086732354743</v>
      </c>
      <c r="L19" s="97">
        <f t="shared" si="12"/>
        <v>93227.001954807245</v>
      </c>
      <c r="M19" s="96" t="s">
        <v>1005</v>
      </c>
      <c r="N19" s="96">
        <f>581-$AD$19</f>
        <v>567</v>
      </c>
      <c r="O19" s="96">
        <v>16</v>
      </c>
      <c r="P19" s="96">
        <f t="shared" si="17"/>
        <v>0.51500000000000001</v>
      </c>
      <c r="Q19" s="96">
        <v>3</v>
      </c>
      <c r="R19" s="96">
        <f t="shared" si="0"/>
        <v>18.590163934426229</v>
      </c>
      <c r="S19" s="97">
        <v>100000</v>
      </c>
      <c r="T19" s="97">
        <v>92000</v>
      </c>
      <c r="U19" s="97">
        <f t="shared" si="13"/>
        <v>127183.13094570105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1086</v>
      </c>
      <c r="AD19">
        <v>14</v>
      </c>
      <c r="AF19" s="26"/>
    </row>
    <row r="20" spans="1:32" x14ac:dyDescent="0.25">
      <c r="A20" s="92" t="s">
        <v>979</v>
      </c>
      <c r="B20" s="93">
        <f>$S20/(1+($AC$2-$O20+$P20)/36500)^$N20</f>
        <v>98460.256871979567</v>
      </c>
      <c r="C20" s="93">
        <f t="shared" si="3"/>
        <v>99130.425461089879</v>
      </c>
      <c r="D20" s="93">
        <f t="shared" si="4"/>
        <v>99974.564884340027</v>
      </c>
      <c r="E20" s="93">
        <f t="shared" si="5"/>
        <v>100825.90423978922</v>
      </c>
      <c r="F20" s="93">
        <f t="shared" si="6"/>
        <v>101684.5050378428</v>
      </c>
      <c r="G20" s="93">
        <f t="shared" si="7"/>
        <v>102550.42931523836</v>
      </c>
      <c r="H20" s="93">
        <f t="shared" si="8"/>
        <v>103423.73963958729</v>
      </c>
      <c r="I20" s="93">
        <f t="shared" si="9"/>
        <v>104304.49911388427</v>
      </c>
      <c r="J20" s="93">
        <f t="shared" si="10"/>
        <v>105192.77138115645</v>
      </c>
      <c r="K20" s="93">
        <f t="shared" si="11"/>
        <v>106088.62062904163</v>
      </c>
      <c r="L20" s="93">
        <f t="shared" si="12"/>
        <v>100825.90423978922</v>
      </c>
      <c r="M20" s="92" t="s">
        <v>1006</v>
      </c>
      <c r="N20" s="92">
        <f>633-$AD$19</f>
        <v>619</v>
      </c>
      <c r="O20" s="92">
        <v>21</v>
      </c>
      <c r="P20" s="92">
        <f t="shared" si="17"/>
        <v>0.51500000000000001</v>
      </c>
      <c r="Q20" s="92">
        <v>3</v>
      </c>
      <c r="R20" s="92">
        <f t="shared" si="0"/>
        <v>20.295081967213115</v>
      </c>
      <c r="S20" s="93">
        <v>100000</v>
      </c>
      <c r="T20" s="93">
        <v>100000</v>
      </c>
      <c r="U20" s="93">
        <f t="shared" si="13"/>
        <v>141523.69831636103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4" t="s">
        <v>972</v>
      </c>
      <c r="B21" s="95">
        <f t="shared" si="2"/>
        <v>98292.560927897634</v>
      </c>
      <c r="C21" s="95">
        <f t="shared" si="3"/>
        <v>99035.360853607111</v>
      </c>
      <c r="D21" s="95">
        <f t="shared" si="4"/>
        <v>99971.771114192452</v>
      </c>
      <c r="E21" s="95">
        <f t="shared" si="5"/>
        <v>100917.04843611267</v>
      </c>
      <c r="F21" s="95">
        <f t="shared" si="6"/>
        <v>101871.27690660454</v>
      </c>
      <c r="G21" s="95">
        <f t="shared" si="7"/>
        <v>102834.54141146256</v>
      </c>
      <c r="H21" s="95">
        <f t="shared" si="8"/>
        <v>103806.92764266784</v>
      </c>
      <c r="I21" s="95">
        <f t="shared" si="9"/>
        <v>104788.52210601053</v>
      </c>
      <c r="J21" s="95">
        <f t="shared" si="10"/>
        <v>105779.41212889714</v>
      </c>
      <c r="K21" s="95">
        <f t="shared" si="11"/>
        <v>106779.68586810891</v>
      </c>
      <c r="L21" s="95">
        <f t="shared" si="12"/>
        <v>100917.04843611267</v>
      </c>
      <c r="M21" s="94" t="s">
        <v>1007</v>
      </c>
      <c r="N21" s="94">
        <f>701-$AD$19</f>
        <v>687</v>
      </c>
      <c r="O21" s="94">
        <v>21</v>
      </c>
      <c r="P21" s="94">
        <f t="shared" si="17"/>
        <v>0.51500000000000001</v>
      </c>
      <c r="Q21" s="94">
        <v>3</v>
      </c>
      <c r="R21" s="94">
        <f t="shared" si="0"/>
        <v>22.524590163934427</v>
      </c>
      <c r="S21" s="95">
        <v>100000</v>
      </c>
      <c r="T21" s="95">
        <v>100000</v>
      </c>
      <c r="U21" s="95">
        <f t="shared" si="13"/>
        <v>147027.45769847077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6" t="s">
        <v>987</v>
      </c>
      <c r="B22" s="97">
        <f t="shared" si="2"/>
        <v>92627.906031142847</v>
      </c>
      <c r="C22" s="97">
        <f t="shared" si="3"/>
        <v>93355.456327602777</v>
      </c>
      <c r="D22" s="97">
        <f t="shared" si="4"/>
        <v>94272.946942136652</v>
      </c>
      <c r="E22" s="97">
        <f t="shared" si="5"/>
        <v>95199.467340582021</v>
      </c>
      <c r="F22" s="97">
        <f t="shared" si="6"/>
        <v>96135.106518042943</v>
      </c>
      <c r="G22" s="97">
        <f t="shared" si="7"/>
        <v>97079.954347934879</v>
      </c>
      <c r="H22" s="97">
        <f t="shared" si="8"/>
        <v>98034.101590744118</v>
      </c>
      <c r="I22" s="97">
        <f t="shared" si="9"/>
        <v>98997.639902703289</v>
      </c>
      <c r="J22" s="97">
        <f t="shared" si="10"/>
        <v>99970.661844758244</v>
      </c>
      <c r="K22" s="97">
        <f t="shared" si="11"/>
        <v>100953.26089139174</v>
      </c>
      <c r="L22" s="97">
        <f t="shared" si="12"/>
        <v>95199.467340582021</v>
      </c>
      <c r="M22" s="96" t="s">
        <v>1036</v>
      </c>
      <c r="N22" s="96">
        <f>728-$AD$19</f>
        <v>714</v>
      </c>
      <c r="O22" s="96">
        <v>18</v>
      </c>
      <c r="P22" s="96">
        <f t="shared" si="17"/>
        <v>0.51500000000000001</v>
      </c>
      <c r="Q22" s="96">
        <v>3</v>
      </c>
      <c r="R22" s="96">
        <f t="shared" si="0"/>
        <v>23.409836065573771</v>
      </c>
      <c r="S22" s="97">
        <v>100000</v>
      </c>
      <c r="T22" s="97">
        <v>95000</v>
      </c>
      <c r="U22" s="97">
        <f t="shared" si="13"/>
        <v>140764.31469163788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2" t="s">
        <v>988</v>
      </c>
      <c r="B23" s="93">
        <f t="shared" si="2"/>
        <v>89900.977269167153</v>
      </c>
      <c r="C23" s="93">
        <f t="shared" si="3"/>
        <v>90550.498075973621</v>
      </c>
      <c r="D23" s="93">
        <f t="shared" si="4"/>
        <v>91369.012280548544</v>
      </c>
      <c r="E23" s="93">
        <f t="shared" si="5"/>
        <v>92194.93665379296</v>
      </c>
      <c r="F23" s="93">
        <f t="shared" si="6"/>
        <v>93028.338384253962</v>
      </c>
      <c r="G23" s="93">
        <f t="shared" si="7"/>
        <v>93869.285270674416</v>
      </c>
      <c r="H23" s="93">
        <f t="shared" si="8"/>
        <v>94717.845727434164</v>
      </c>
      <c r="I23" s="93">
        <f t="shared" si="9"/>
        <v>95574.088790230249</v>
      </c>
      <c r="J23" s="93">
        <f t="shared" si="10"/>
        <v>96438.084121701235</v>
      </c>
      <c r="K23" s="93">
        <f t="shared" si="11"/>
        <v>97309.90201708996</v>
      </c>
      <c r="L23" s="93">
        <f t="shared" si="12"/>
        <v>92194.93665379296</v>
      </c>
      <c r="M23" s="92" t="s">
        <v>1008</v>
      </c>
      <c r="N23" s="92">
        <f>671-$AD$19</f>
        <v>657</v>
      </c>
      <c r="O23" s="92">
        <v>16</v>
      </c>
      <c r="P23" s="92">
        <f t="shared" si="17"/>
        <v>0.51500000000000001</v>
      </c>
      <c r="Q23" s="92">
        <v>3</v>
      </c>
      <c r="R23" s="92">
        <f t="shared" si="0"/>
        <v>21.540983606557376</v>
      </c>
      <c r="S23" s="93">
        <v>100000</v>
      </c>
      <c r="T23" s="93">
        <v>90600</v>
      </c>
      <c r="U23" s="93">
        <f t="shared" si="13"/>
        <v>132131.27480845957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975</v>
      </c>
      <c r="AD23" t="s">
        <v>1087</v>
      </c>
      <c r="AE23" s="25"/>
      <c r="AF23" s="26"/>
    </row>
    <row r="24" spans="1:32" x14ac:dyDescent="0.25">
      <c r="A24" s="94" t="s">
        <v>989</v>
      </c>
      <c r="B24" s="95">
        <f t="shared" si="2"/>
        <v>83143.22490286782</v>
      </c>
      <c r="C24" s="95">
        <f t="shared" si="3"/>
        <v>84032.518858117255</v>
      </c>
      <c r="D24" s="95">
        <f>$S24/(1+($AC$4-$O24+$P24)/36500)^$N24</f>
        <v>85157.538163513294</v>
      </c>
      <c r="E24" s="95">
        <f t="shared" si="5"/>
        <v>86297.634838625265</v>
      </c>
      <c r="F24" s="95">
        <f t="shared" si="6"/>
        <v>87453.011159178553</v>
      </c>
      <c r="G24" s="95">
        <f t="shared" si="7"/>
        <v>88623.872117449049</v>
      </c>
      <c r="H24" s="95">
        <f t="shared" si="8"/>
        <v>89810.425458680824</v>
      </c>
      <c r="I24" s="95">
        <f t="shared" si="9"/>
        <v>91012.881718267192</v>
      </c>
      <c r="J24" s="95">
        <f t="shared" si="10"/>
        <v>92231.454259085498</v>
      </c>
      <c r="K24" s="95">
        <f t="shared" si="11"/>
        <v>93466.359309662905</v>
      </c>
      <c r="L24" s="95">
        <f t="shared" si="12"/>
        <v>86297.634838625265</v>
      </c>
      <c r="M24" s="94" t="s">
        <v>1009</v>
      </c>
      <c r="N24" s="94">
        <f>985-$AD$19</f>
        <v>971</v>
      </c>
      <c r="O24" s="94">
        <v>15</v>
      </c>
      <c r="P24" s="94">
        <f>$AI$2</f>
        <v>0.54</v>
      </c>
      <c r="Q24" s="94">
        <v>6</v>
      </c>
      <c r="R24" s="94">
        <f t="shared" si="0"/>
        <v>31.83606557377049</v>
      </c>
      <c r="S24" s="95">
        <v>100000</v>
      </c>
      <c r="T24" s="95">
        <v>85800</v>
      </c>
      <c r="U24" s="95">
        <f t="shared" si="13"/>
        <v>146891.83901708372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6" t="s">
        <v>963</v>
      </c>
      <c r="B25" s="97">
        <f t="shared" si="2"/>
        <v>81500.647803341984</v>
      </c>
      <c r="C25" s="97">
        <f t="shared" si="3"/>
        <v>81812.775089367176</v>
      </c>
      <c r="D25" s="97">
        <f t="shared" si="4"/>
        <v>82204.620562006399</v>
      </c>
      <c r="E25" s="97">
        <f t="shared" si="5"/>
        <v>82598.348197146537</v>
      </c>
      <c r="F25" s="97">
        <f t="shared" si="6"/>
        <v>82993.967061395975</v>
      </c>
      <c r="G25" s="97">
        <f t="shared" si="7"/>
        <v>83391.486265144267</v>
      </c>
      <c r="H25" s="97">
        <f t="shared" si="8"/>
        <v>83790.914962811876</v>
      </c>
      <c r="I25" s="97">
        <f t="shared" si="9"/>
        <v>84192.262353029757</v>
      </c>
      <c r="J25" s="97">
        <f t="shared" si="10"/>
        <v>84595.537678874709</v>
      </c>
      <c r="K25" s="97">
        <f t="shared" si="11"/>
        <v>85000.750228089964</v>
      </c>
      <c r="L25" s="97">
        <f t="shared" si="12"/>
        <v>82598.348197146537</v>
      </c>
      <c r="M25" s="96" t="s">
        <v>1010</v>
      </c>
      <c r="N25" s="96">
        <f>363-$AD$19</f>
        <v>349</v>
      </c>
      <c r="O25" s="96">
        <v>0</v>
      </c>
      <c r="P25" s="96">
        <v>0</v>
      </c>
      <c r="Q25" s="96">
        <v>0</v>
      </c>
      <c r="R25" s="96">
        <f t="shared" si="0"/>
        <v>11.442622950819672</v>
      </c>
      <c r="S25" s="97">
        <v>100000</v>
      </c>
      <c r="T25" s="97">
        <v>82800</v>
      </c>
      <c r="U25" s="97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2" t="s">
        <v>998</v>
      </c>
      <c r="B26" s="93">
        <f t="shared" si="2"/>
        <v>93542.389739051738</v>
      </c>
      <c r="C26" s="93">
        <f t="shared" si="3"/>
        <v>94838.782829247764</v>
      </c>
      <c r="D26" s="93">
        <f t="shared" si="4"/>
        <v>96484.589236989559</v>
      </c>
      <c r="E26" s="93">
        <f t="shared" si="5"/>
        <v>98158.979654792289</v>
      </c>
      <c r="F26" s="93">
        <f t="shared" si="6"/>
        <v>99862.450925387093</v>
      </c>
      <c r="G26" s="93">
        <f t="shared" si="7"/>
        <v>101595.50853448591</v>
      </c>
      <c r="H26" s="93">
        <f t="shared" si="8"/>
        <v>103358.66676133791</v>
      </c>
      <c r="I26" s="93">
        <f t="shared" si="9"/>
        <v>105152.44883176929</v>
      </c>
      <c r="J26" s="93">
        <f t="shared" si="10"/>
        <v>106977.38707394878</v>
      </c>
      <c r="K26" s="93">
        <f t="shared" si="11"/>
        <v>108834.02307692743</v>
      </c>
      <c r="L26" s="93">
        <f t="shared" si="12"/>
        <v>98158.979654792289</v>
      </c>
      <c r="M26" s="92" t="s">
        <v>1001</v>
      </c>
      <c r="N26" s="92">
        <f>1270-$AD$19</f>
        <v>1256</v>
      </c>
      <c r="O26" s="92">
        <v>20</v>
      </c>
      <c r="P26" s="92">
        <f>$AI$2</f>
        <v>0.54</v>
      </c>
      <c r="Q26" s="92">
        <v>6</v>
      </c>
      <c r="R26" s="92">
        <f t="shared" si="0"/>
        <v>41.180327868852459</v>
      </c>
      <c r="S26" s="93">
        <v>100000</v>
      </c>
      <c r="T26" s="93">
        <v>100000</v>
      </c>
      <c r="U26" s="93">
        <f t="shared" si="13"/>
        <v>195311.05276879956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4" t="s">
        <v>1002</v>
      </c>
      <c r="B27" s="95">
        <f t="shared" si="2"/>
        <v>100079.20952857651</v>
      </c>
      <c r="C27" s="95">
        <f t="shared" si="3"/>
        <v>100452.80590523861</v>
      </c>
      <c r="D27" s="95">
        <f t="shared" si="4"/>
        <v>100921.7689904626</v>
      </c>
      <c r="E27" s="95">
        <f t="shared" si="5"/>
        <v>101392.92789533548</v>
      </c>
      <c r="F27" s="95">
        <f t="shared" si="6"/>
        <v>101866.29293161164</v>
      </c>
      <c r="G27" s="95">
        <f t="shared" si="7"/>
        <v>102341.87445959821</v>
      </c>
      <c r="H27" s="95">
        <f t="shared" si="8"/>
        <v>102819.68288841705</v>
      </c>
      <c r="I27" s="95">
        <f t="shared" si="9"/>
        <v>103299.72867620793</v>
      </c>
      <c r="J27" s="95">
        <f t="shared" si="10"/>
        <v>103782.02233036805</v>
      </c>
      <c r="K27" s="95">
        <f t="shared" si="11"/>
        <v>104266.57440778856</v>
      </c>
      <c r="L27" s="95">
        <f t="shared" si="12"/>
        <v>101392.92789533548</v>
      </c>
      <c r="M27" s="94" t="s">
        <v>1003</v>
      </c>
      <c r="N27" s="94">
        <f>354-$AD$19</f>
        <v>340</v>
      </c>
      <c r="O27" s="94">
        <v>22</v>
      </c>
      <c r="P27" s="94">
        <f>AI1</f>
        <v>0.51500000000000001</v>
      </c>
      <c r="Q27" s="94">
        <v>3</v>
      </c>
      <c r="R27" s="94">
        <f t="shared" si="0"/>
        <v>11.147540983606557</v>
      </c>
      <c r="S27" s="95">
        <v>100000</v>
      </c>
      <c r="T27" s="95">
        <v>103000</v>
      </c>
      <c r="U27" s="95">
        <f t="shared" si="13"/>
        <v>122149.53842442257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6" t="s">
        <v>1028</v>
      </c>
      <c r="B28" s="97">
        <f t="shared" si="2"/>
        <v>99169.499833356371</v>
      </c>
      <c r="C28" s="97">
        <f t="shared" si="3"/>
        <v>100000</v>
      </c>
      <c r="D28" s="97">
        <f t="shared" si="4"/>
        <v>101047.92557343679</v>
      </c>
      <c r="E28" s="97">
        <f t="shared" si="5"/>
        <v>102106.84720856026</v>
      </c>
      <c r="F28" s="97">
        <f t="shared" si="6"/>
        <v>103176.88044194545</v>
      </c>
      <c r="G28" s="97">
        <f t="shared" si="7"/>
        <v>104258.14202568564</v>
      </c>
      <c r="H28" s="97">
        <f t="shared" si="8"/>
        <v>105350.74994030259</v>
      </c>
      <c r="I28" s="97">
        <f t="shared" si="9"/>
        <v>106454.82340757437</v>
      </c>
      <c r="J28" s="97">
        <f t="shared" si="10"/>
        <v>107570.48290368717</v>
      </c>
      <c r="K28" s="97">
        <f t="shared" si="11"/>
        <v>108697.85017240896</v>
      </c>
      <c r="L28" s="97">
        <f t="shared" si="12"/>
        <v>102106.84720856026</v>
      </c>
      <c r="M28" s="96" t="s">
        <v>1029</v>
      </c>
      <c r="N28" s="96">
        <f>775-$AD$19</f>
        <v>761</v>
      </c>
      <c r="O28" s="96">
        <v>21</v>
      </c>
      <c r="P28" s="96">
        <v>0</v>
      </c>
      <c r="Q28" s="96">
        <v>1</v>
      </c>
      <c r="R28" s="96">
        <f t="shared" si="0"/>
        <v>24.950819672131146</v>
      </c>
      <c r="S28" s="97">
        <v>100000</v>
      </c>
      <c r="T28" s="97">
        <v>104000</v>
      </c>
      <c r="U28" s="97">
        <f t="shared" si="13"/>
        <v>154914.77122395235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7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2" t="s">
        <v>1081</v>
      </c>
      <c r="B29" s="93">
        <f t="shared" si="2"/>
        <v>83674.663002423753</v>
      </c>
      <c r="C29" s="93">
        <f t="shared" si="3"/>
        <v>84890.927134606405</v>
      </c>
      <c r="D29" s="93">
        <f t="shared" si="4"/>
        <v>86436.167883766684</v>
      </c>
      <c r="E29" s="93">
        <f t="shared" si="5"/>
        <v>88009.557871835568</v>
      </c>
      <c r="F29" s="93">
        <f t="shared" si="6"/>
        <v>89611.61028208537</v>
      </c>
      <c r="G29" s="93">
        <f t="shared" si="7"/>
        <v>91242.847660842323</v>
      </c>
      <c r="H29" s="93">
        <f t="shared" si="8"/>
        <v>92903.802088373355</v>
      </c>
      <c r="I29" s="93">
        <f t="shared" si="9"/>
        <v>94595.015352816728</v>
      </c>
      <c r="J29" s="93">
        <f t="shared" si="10"/>
        <v>96317.039127769138</v>
      </c>
      <c r="K29" s="93">
        <f t="shared" si="11"/>
        <v>98070.43515244787</v>
      </c>
      <c r="L29" s="93">
        <f t="shared" si="12"/>
        <v>88009.557871835568</v>
      </c>
      <c r="M29" s="92" t="s">
        <v>1082</v>
      </c>
      <c r="N29" s="92">
        <f>1331-$AD$19</f>
        <v>1317</v>
      </c>
      <c r="O29" s="92">
        <v>17</v>
      </c>
      <c r="P29" s="92">
        <f>AI2</f>
        <v>0.54</v>
      </c>
      <c r="Q29" s="92">
        <v>6</v>
      </c>
      <c r="R29" s="92">
        <f t="shared" si="0"/>
        <v>43.180327868852459</v>
      </c>
      <c r="S29" s="93">
        <v>100000</v>
      </c>
      <c r="T29" s="93"/>
      <c r="U29" s="93">
        <f t="shared" si="13"/>
        <v>181067.31229543581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8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8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8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8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1094</v>
      </c>
    </row>
    <row r="2" spans="1:1" x14ac:dyDescent="0.25">
      <c r="A2" t="s">
        <v>1095</v>
      </c>
    </row>
    <row r="3" spans="1:1" x14ac:dyDescent="0.25">
      <c r="A3" t="s">
        <v>1096</v>
      </c>
    </row>
    <row r="4" spans="1:1" x14ac:dyDescent="0.25">
      <c r="A4" t="s">
        <v>1097</v>
      </c>
    </row>
    <row r="5" spans="1:1" x14ac:dyDescent="0.25">
      <c r="A5" t="s">
        <v>1098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M24" sqref="M24"/>
    </sheetView>
  </sheetViews>
  <sheetFormatPr defaultRowHeight="15" x14ac:dyDescent="0.25"/>
  <cols>
    <col min="7" max="7" width="25.140625" bestFit="1" customWidth="1"/>
  </cols>
  <sheetData>
    <row r="1" spans="1:16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1115</v>
      </c>
    </row>
    <row r="2" spans="1:16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1115</v>
      </c>
    </row>
    <row r="3" spans="1:16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1116</v>
      </c>
    </row>
    <row r="5" spans="1:16" x14ac:dyDescent="0.25">
      <c r="A5">
        <v>1850</v>
      </c>
      <c r="B5">
        <v>1850</v>
      </c>
      <c r="C5">
        <v>1850</v>
      </c>
      <c r="D5">
        <v>1850</v>
      </c>
      <c r="E5">
        <v>1850</v>
      </c>
      <c r="F5">
        <v>1850</v>
      </c>
      <c r="G5" t="s">
        <v>1117</v>
      </c>
    </row>
    <row r="6" spans="1:16" x14ac:dyDescent="0.25">
      <c r="A6">
        <v>2000</v>
      </c>
      <c r="B6">
        <v>2000</v>
      </c>
      <c r="C6">
        <v>2000</v>
      </c>
      <c r="D6">
        <v>2000</v>
      </c>
      <c r="E6">
        <v>2000</v>
      </c>
      <c r="F6">
        <v>2000</v>
      </c>
      <c r="G6" t="s">
        <v>1118</v>
      </c>
    </row>
    <row r="8" spans="1:16" x14ac:dyDescent="0.25">
      <c r="A8">
        <f>A1+A3</f>
        <v>1620</v>
      </c>
      <c r="B8">
        <f t="shared" ref="B8:F8" si="0">B1+B3</f>
        <v>1720</v>
      </c>
      <c r="C8">
        <f t="shared" si="0"/>
        <v>1820</v>
      </c>
      <c r="D8">
        <f t="shared" si="0"/>
        <v>1920</v>
      </c>
      <c r="E8">
        <f t="shared" si="0"/>
        <v>2020</v>
      </c>
      <c r="F8">
        <f t="shared" si="0"/>
        <v>2120</v>
      </c>
      <c r="G8" t="s">
        <v>1119</v>
      </c>
    </row>
    <row r="9" spans="1:16" x14ac:dyDescent="0.25">
      <c r="A9">
        <f>A2+A3</f>
        <v>1520</v>
      </c>
      <c r="B9">
        <f t="shared" ref="B9:F9" si="1">B2+B3</f>
        <v>1620</v>
      </c>
      <c r="C9">
        <f t="shared" si="1"/>
        <v>1720</v>
      </c>
      <c r="D9">
        <f t="shared" si="1"/>
        <v>1820</v>
      </c>
      <c r="E9">
        <f t="shared" si="1"/>
        <v>1920</v>
      </c>
      <c r="F9">
        <f t="shared" si="1"/>
        <v>2020</v>
      </c>
      <c r="G9" t="s">
        <v>1120</v>
      </c>
      <c r="J9">
        <v>232</v>
      </c>
      <c r="K9">
        <v>2.12</v>
      </c>
      <c r="L9">
        <f>$J$9/K9</f>
        <v>109.43396226415094</v>
      </c>
      <c r="O9" t="s">
        <v>1127</v>
      </c>
      <c r="P9">
        <v>5</v>
      </c>
    </row>
    <row r="10" spans="1:16" x14ac:dyDescent="0.25">
      <c r="K10">
        <v>2.02</v>
      </c>
      <c r="L10">
        <f t="shared" ref="L10:L14" si="2">$J$9/K10</f>
        <v>114.85148514851485</v>
      </c>
      <c r="O10" t="s">
        <v>1128</v>
      </c>
      <c r="P10">
        <v>20</v>
      </c>
    </row>
    <row r="11" spans="1:16" x14ac:dyDescent="0.25">
      <c r="A11">
        <f>A5+A3</f>
        <v>2070</v>
      </c>
      <c r="B11">
        <f t="shared" ref="B11:F11" si="3">B5+B3</f>
        <v>2170</v>
      </c>
      <c r="C11">
        <f t="shared" si="3"/>
        <v>2270</v>
      </c>
      <c r="D11">
        <f t="shared" si="3"/>
        <v>2370</v>
      </c>
      <c r="E11">
        <f t="shared" si="3"/>
        <v>2470</v>
      </c>
      <c r="F11">
        <f t="shared" si="3"/>
        <v>2570</v>
      </c>
      <c r="G11" t="s">
        <v>1121</v>
      </c>
      <c r="K11">
        <v>1.92</v>
      </c>
      <c r="L11">
        <f t="shared" si="2"/>
        <v>120.83333333333334</v>
      </c>
      <c r="O11" t="s">
        <v>1129</v>
      </c>
      <c r="P11">
        <v>201</v>
      </c>
    </row>
    <row r="12" spans="1:16" x14ac:dyDescent="0.25">
      <c r="A12">
        <f>A6+A3</f>
        <v>2220</v>
      </c>
      <c r="B12">
        <f t="shared" ref="B12:F12" si="4">B6+B3</f>
        <v>2320</v>
      </c>
      <c r="C12">
        <f t="shared" si="4"/>
        <v>2420</v>
      </c>
      <c r="D12">
        <f t="shared" si="4"/>
        <v>2520</v>
      </c>
      <c r="E12">
        <f t="shared" si="4"/>
        <v>2620</v>
      </c>
      <c r="F12">
        <f t="shared" si="4"/>
        <v>2720</v>
      </c>
      <c r="G12" t="s">
        <v>1122</v>
      </c>
      <c r="K12">
        <v>1.82</v>
      </c>
      <c r="L12">
        <f t="shared" si="2"/>
        <v>127.47252747252747</v>
      </c>
      <c r="O12" t="s">
        <v>1130</v>
      </c>
      <c r="P12">
        <v>30</v>
      </c>
    </row>
    <row r="13" spans="1:16" x14ac:dyDescent="0.25">
      <c r="K13">
        <v>1.72</v>
      </c>
      <c r="L13">
        <f t="shared" si="2"/>
        <v>134.88372093023256</v>
      </c>
    </row>
    <row r="14" spans="1:16" x14ac:dyDescent="0.25">
      <c r="A14">
        <f>A11-A8</f>
        <v>450</v>
      </c>
      <c r="B14">
        <f t="shared" ref="B14:F14" si="5">B11-B8</f>
        <v>450</v>
      </c>
      <c r="C14">
        <f t="shared" si="5"/>
        <v>450</v>
      </c>
      <c r="D14">
        <f t="shared" si="5"/>
        <v>450</v>
      </c>
      <c r="E14">
        <f t="shared" si="5"/>
        <v>450</v>
      </c>
      <c r="F14">
        <f t="shared" si="5"/>
        <v>450</v>
      </c>
      <c r="G14" t="s">
        <v>1123</v>
      </c>
      <c r="K14">
        <v>1.62</v>
      </c>
      <c r="L14">
        <f t="shared" si="2"/>
        <v>143.20987654320987</v>
      </c>
    </row>
    <row r="15" spans="1:16" x14ac:dyDescent="0.25">
      <c r="A15">
        <f>A12-A9</f>
        <v>700</v>
      </c>
      <c r="B15">
        <f t="shared" ref="B15:F15" si="6">B12-B9</f>
        <v>700</v>
      </c>
      <c r="C15">
        <f t="shared" si="6"/>
        <v>700</v>
      </c>
      <c r="D15">
        <f t="shared" si="6"/>
        <v>700</v>
      </c>
      <c r="E15">
        <f t="shared" si="6"/>
        <v>700</v>
      </c>
      <c r="F15">
        <f t="shared" si="6"/>
        <v>700</v>
      </c>
      <c r="G15" t="s">
        <v>1124</v>
      </c>
    </row>
    <row r="17" spans="1:15" x14ac:dyDescent="0.25">
      <c r="A17">
        <f>A14/A8</f>
        <v>0.27777777777777779</v>
      </c>
      <c r="B17">
        <f t="shared" ref="B17:F17" si="7">B14/B8</f>
        <v>0.26162790697674421</v>
      </c>
      <c r="C17">
        <f t="shared" si="7"/>
        <v>0.24725274725274726</v>
      </c>
      <c r="D17">
        <f t="shared" si="7"/>
        <v>0.234375</v>
      </c>
      <c r="E17">
        <f t="shared" si="7"/>
        <v>0.22277227722772278</v>
      </c>
      <c r="F17">
        <f t="shared" si="7"/>
        <v>0.21226415094339623</v>
      </c>
      <c r="G17" t="s">
        <v>1125</v>
      </c>
    </row>
    <row r="18" spans="1:15" x14ac:dyDescent="0.25">
      <c r="A18">
        <f>A14/A8*12/8</f>
        <v>0.41666666666666669</v>
      </c>
      <c r="B18">
        <f t="shared" ref="B17:F18" si="8">B14/B8*12/8</f>
        <v>0.39244186046511631</v>
      </c>
      <c r="C18">
        <f t="shared" si="8"/>
        <v>0.37087912087912089</v>
      </c>
      <c r="D18">
        <f t="shared" si="8"/>
        <v>0.3515625</v>
      </c>
      <c r="E18">
        <f t="shared" si="8"/>
        <v>0.33415841584158418</v>
      </c>
      <c r="F18">
        <f t="shared" si="8"/>
        <v>0.31839622641509435</v>
      </c>
      <c r="G18" t="s">
        <v>1125</v>
      </c>
    </row>
    <row r="19" spans="1:15" x14ac:dyDescent="0.25">
      <c r="A19">
        <f>A15/A9*12/14</f>
        <v>0.39473684210526316</v>
      </c>
      <c r="B19">
        <f t="shared" ref="B19:F19" si="9">B15/B9*12/14</f>
        <v>0.37037037037037035</v>
      </c>
      <c r="C19">
        <f t="shared" si="9"/>
        <v>0.34883720930232559</v>
      </c>
      <c r="D19">
        <f t="shared" si="9"/>
        <v>0.32967032967032972</v>
      </c>
      <c r="E19">
        <f t="shared" si="9"/>
        <v>0.3125</v>
      </c>
      <c r="F19">
        <f t="shared" si="9"/>
        <v>0.29702970297029702</v>
      </c>
      <c r="G19" t="s">
        <v>1126</v>
      </c>
      <c r="L19">
        <v>120</v>
      </c>
      <c r="M19">
        <v>1.4</v>
      </c>
      <c r="N19">
        <f>L19*M19</f>
        <v>168</v>
      </c>
      <c r="O19">
        <f>P11-N19</f>
        <v>33</v>
      </c>
    </row>
    <row r="20" spans="1:15" x14ac:dyDescent="0.25">
      <c r="M20">
        <v>0.7</v>
      </c>
      <c r="N20">
        <f>L19*M20</f>
        <v>84</v>
      </c>
    </row>
    <row r="21" spans="1:15" x14ac:dyDescent="0.25">
      <c r="A21">
        <f>A11*0.09</f>
        <v>186.29999999999998</v>
      </c>
      <c r="B21">
        <f t="shared" ref="B21:F21" si="10">B11*0.09</f>
        <v>195.29999999999998</v>
      </c>
      <c r="C21">
        <f t="shared" si="10"/>
        <v>204.29999999999998</v>
      </c>
      <c r="D21">
        <f t="shared" si="10"/>
        <v>213.29999999999998</v>
      </c>
      <c r="E21">
        <f t="shared" si="10"/>
        <v>222.29999999999998</v>
      </c>
      <c r="F21">
        <f t="shared" si="10"/>
        <v>231.29999999999998</v>
      </c>
    </row>
    <row r="22" spans="1:15" x14ac:dyDescent="0.25">
      <c r="A22">
        <f>(A11+A21)*A9/A8</f>
        <v>2117.0222222222224</v>
      </c>
      <c r="B22">
        <f>(B11+B21)*B9/B8</f>
        <v>2227.782558139535</v>
      </c>
      <c r="C22">
        <f>(C11+C21)*C9/C8</f>
        <v>2338.3494505494505</v>
      </c>
      <c r="D22">
        <f>(D11+D21)*D9/D8</f>
        <v>2448.7531250000002</v>
      </c>
      <c r="E22">
        <f>(E11+E21)*E9/E8</f>
        <v>2559.0178217821781</v>
      </c>
      <c r="F22">
        <f>(F11+F21)*F9/F8</f>
        <v>2669.1632075471698</v>
      </c>
    </row>
    <row r="28" spans="1:15" x14ac:dyDescent="0.25">
      <c r="E28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937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937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937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937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937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937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937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937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937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815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921</v>
      </c>
      <c r="B13" s="3">
        <v>436</v>
      </c>
      <c r="C13" s="11" t="s">
        <v>830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833</v>
      </c>
      <c r="B14" s="3">
        <v>1000000</v>
      </c>
      <c r="C14" s="11" t="s">
        <v>836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838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838</v>
      </c>
      <c r="B16" s="3">
        <v>-70600</v>
      </c>
      <c r="C16" s="11" t="s">
        <v>839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838</v>
      </c>
      <c r="B17" s="3">
        <v>-450030</v>
      </c>
      <c r="C17" s="11" t="s">
        <v>840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841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844</v>
      </c>
      <c r="B19" s="3">
        <v>-26000</v>
      </c>
      <c r="C19" s="11" t="s">
        <v>845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849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851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854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857</v>
      </c>
      <c r="B23" s="3">
        <v>-95500</v>
      </c>
      <c r="C23" s="11" t="s">
        <v>858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859</v>
      </c>
      <c r="B24" s="3">
        <v>2000000</v>
      </c>
      <c r="C24" s="11" t="s">
        <v>860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859</v>
      </c>
      <c r="B25" s="3">
        <v>-131450</v>
      </c>
      <c r="C25" s="11" t="s">
        <v>862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864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865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866</v>
      </c>
      <c r="B28" s="3">
        <v>-180500</v>
      </c>
      <c r="C28" s="11" t="s">
        <v>867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869</v>
      </c>
      <c r="B29" s="35">
        <v>7117</v>
      </c>
      <c r="C29" s="11" t="s">
        <v>876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884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890</v>
      </c>
      <c r="B31" s="3">
        <v>-47053</v>
      </c>
      <c r="C31" s="11" t="s">
        <v>891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892</v>
      </c>
      <c r="B32" s="3">
        <v>-33870</v>
      </c>
      <c r="C32" s="11" t="s">
        <v>893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894</v>
      </c>
      <c r="B33" s="3">
        <v>-22000</v>
      </c>
      <c r="C33" s="11" t="s">
        <v>895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894</v>
      </c>
      <c r="B34" s="3">
        <v>-250000</v>
      </c>
      <c r="C34" s="11" t="s">
        <v>896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894</v>
      </c>
      <c r="B35" s="3">
        <v>-650500</v>
      </c>
      <c r="C35" s="11" t="s">
        <v>897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898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899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922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923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924</v>
      </c>
      <c r="B40" s="3">
        <v>-30000</v>
      </c>
      <c r="C40" s="11" t="s">
        <v>925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907</v>
      </c>
      <c r="B41" s="3">
        <v>7481</v>
      </c>
      <c r="C41" s="11" t="s">
        <v>926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910</v>
      </c>
      <c r="B42" s="3">
        <v>1000000</v>
      </c>
      <c r="C42" s="11" t="s">
        <v>911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927</v>
      </c>
      <c r="B43" s="3">
        <v>-39330</v>
      </c>
      <c r="C43" s="11" t="s">
        <v>913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928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912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914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929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930</v>
      </c>
      <c r="B48" s="3">
        <v>-83000</v>
      </c>
      <c r="C48" s="11" t="s">
        <v>931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932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933</v>
      </c>
      <c r="B50" s="3">
        <v>-180000</v>
      </c>
      <c r="C50" s="11" t="s">
        <v>934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935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936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946</v>
      </c>
      <c r="B53" s="3">
        <v>-22000</v>
      </c>
      <c r="C53" s="11" t="s">
        <v>947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940</v>
      </c>
      <c r="B54" s="3">
        <v>999000</v>
      </c>
      <c r="C54" s="11" t="s">
        <v>944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940</v>
      </c>
      <c r="B55" s="3">
        <v>106900</v>
      </c>
      <c r="C55" s="11" t="s">
        <v>945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940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951</v>
      </c>
      <c r="B57" s="3">
        <v>-18400</v>
      </c>
      <c r="C57" s="11" t="s">
        <v>891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960</v>
      </c>
      <c r="B58" s="3">
        <v>-457777</v>
      </c>
      <c r="C58" s="11" t="s">
        <v>953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1075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1054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1071</v>
      </c>
      <c r="B61" s="3">
        <v>4172</v>
      </c>
      <c r="C61" s="11" t="s">
        <v>1073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1077</v>
      </c>
      <c r="B62" s="3">
        <v>-161000</v>
      </c>
      <c r="C62" s="11" t="s">
        <v>1085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1090</v>
      </c>
      <c r="B63" s="3">
        <v>-149505</v>
      </c>
      <c r="C63" s="11" t="s">
        <v>1091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1103</v>
      </c>
      <c r="B64" s="3">
        <v>-4940</v>
      </c>
      <c r="C64" s="11" t="s">
        <v>1107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4" activePane="bottomLeft" state="frozen"/>
      <selection pane="bottomLeft" activeCell="C193" sqref="C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667</v>
      </c>
      <c r="E2" s="11">
        <f>IF(B2&gt;0,1,0)</f>
        <v>1</v>
      </c>
      <c r="F2" s="11">
        <f>B2*(D2-E2)</f>
        <v>64402200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665</v>
      </c>
      <c r="E3" s="11">
        <f t="shared" ref="E3:E66" si="1">IF(B3&gt;0,1,0)</f>
        <v>1</v>
      </c>
      <c r="F3" s="11">
        <f t="shared" ref="F3:F66" si="2">B3*(D3-E3)</f>
        <v>1992000000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662</v>
      </c>
      <c r="E4" s="11">
        <f t="shared" si="1"/>
        <v>0</v>
      </c>
      <c r="F4" s="11">
        <f t="shared" si="2"/>
        <v>-132400000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660</v>
      </c>
      <c r="E5" s="11">
        <f t="shared" si="1"/>
        <v>0</v>
      </c>
      <c r="F5" s="11">
        <f t="shared" si="2"/>
        <v>-66000000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659</v>
      </c>
      <c r="E6" s="11">
        <f t="shared" si="1"/>
        <v>0</v>
      </c>
      <c r="F6" s="11">
        <f t="shared" si="2"/>
        <v>-36245000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658</v>
      </c>
      <c r="E7" s="11">
        <f t="shared" si="1"/>
        <v>0</v>
      </c>
      <c r="F7" s="11">
        <f t="shared" si="2"/>
        <v>-131600000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654</v>
      </c>
      <c r="E8" s="11">
        <f t="shared" si="1"/>
        <v>0</v>
      </c>
      <c r="F8" s="11">
        <f t="shared" si="2"/>
        <v>-130800000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644</v>
      </c>
      <c r="E9" s="11">
        <f t="shared" si="1"/>
        <v>0</v>
      </c>
      <c r="F9" s="11">
        <f t="shared" si="2"/>
        <v>-612122000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643</v>
      </c>
      <c r="E10" s="11">
        <f t="shared" si="1"/>
        <v>1</v>
      </c>
      <c r="F10" s="11">
        <f t="shared" si="2"/>
        <v>1284000000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641</v>
      </c>
      <c r="E11" s="11">
        <f t="shared" si="1"/>
        <v>0</v>
      </c>
      <c r="F11" s="11">
        <f t="shared" si="2"/>
        <v>-682665000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638</v>
      </c>
      <c r="E12" s="11">
        <f t="shared" si="1"/>
        <v>0</v>
      </c>
      <c r="F12" s="11">
        <f t="shared" si="2"/>
        <v>-28710000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637</v>
      </c>
      <c r="E13" s="11">
        <f t="shared" si="1"/>
        <v>0</v>
      </c>
      <c r="F13" s="11">
        <f t="shared" si="2"/>
        <v>-1274445900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633</v>
      </c>
      <c r="E14" s="11">
        <f t="shared" si="1"/>
        <v>0</v>
      </c>
      <c r="F14" s="11">
        <f t="shared" si="2"/>
        <v>-126600000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631</v>
      </c>
      <c r="E15" s="11">
        <f t="shared" si="1"/>
        <v>1</v>
      </c>
      <c r="F15" s="11">
        <f t="shared" si="2"/>
        <v>1260000000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631</v>
      </c>
      <c r="E16" s="11">
        <f t="shared" si="1"/>
        <v>1</v>
      </c>
      <c r="F16" s="11">
        <f t="shared" si="2"/>
        <v>1260000000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631</v>
      </c>
      <c r="E17" s="11">
        <f t="shared" si="1"/>
        <v>1</v>
      </c>
      <c r="F17" s="11">
        <f t="shared" si="2"/>
        <v>756000000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631</v>
      </c>
      <c r="E18" s="11">
        <f t="shared" si="1"/>
        <v>1</v>
      </c>
      <c r="F18" s="11">
        <f t="shared" si="2"/>
        <v>630000000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630</v>
      </c>
      <c r="E19" s="11">
        <f t="shared" si="1"/>
        <v>1</v>
      </c>
      <c r="F19" s="11">
        <f t="shared" si="2"/>
        <v>1887000000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630</v>
      </c>
      <c r="E20" s="11">
        <f t="shared" si="1"/>
        <v>0</v>
      </c>
      <c r="F20" s="11">
        <f t="shared" si="2"/>
        <v>-272601000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630</v>
      </c>
      <c r="E21" s="11">
        <f t="shared" si="1"/>
        <v>0</v>
      </c>
      <c r="F21" s="11">
        <f t="shared" si="2"/>
        <v>-272601000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630</v>
      </c>
      <c r="E22" s="11">
        <f t="shared" si="1"/>
        <v>0</v>
      </c>
      <c r="F22" s="11">
        <f t="shared" si="2"/>
        <v>-272601000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630</v>
      </c>
      <c r="E23" s="11">
        <f t="shared" si="1"/>
        <v>0</v>
      </c>
      <c r="F23" s="11">
        <f t="shared" si="2"/>
        <v>-272601000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630</v>
      </c>
      <c r="E24" s="11">
        <f t="shared" si="1"/>
        <v>0</v>
      </c>
      <c r="F24" s="11">
        <f t="shared" si="2"/>
        <v>-272601000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630</v>
      </c>
      <c r="E25" s="11">
        <f t="shared" si="1"/>
        <v>0</v>
      </c>
      <c r="F25" s="11">
        <f t="shared" si="2"/>
        <v>-126000000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629</v>
      </c>
      <c r="E26" s="11">
        <f t="shared" si="1"/>
        <v>1</v>
      </c>
      <c r="F26" s="11">
        <f t="shared" si="2"/>
        <v>1884000000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627</v>
      </c>
      <c r="E27" s="11">
        <f t="shared" si="1"/>
        <v>0</v>
      </c>
      <c r="F27" s="11">
        <f t="shared" si="2"/>
        <v>-125400000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626</v>
      </c>
      <c r="E28" s="11">
        <f t="shared" si="1"/>
        <v>1</v>
      </c>
      <c r="F28" s="11">
        <f t="shared" si="2"/>
        <v>1250000000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625</v>
      </c>
      <c r="E29" s="11">
        <f t="shared" si="1"/>
        <v>0</v>
      </c>
      <c r="F29" s="11">
        <f t="shared" si="2"/>
        <v>-4375500000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624</v>
      </c>
      <c r="E30" s="11">
        <f t="shared" si="1"/>
        <v>0</v>
      </c>
      <c r="F30" s="11">
        <f t="shared" si="2"/>
        <v>-1872561600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623</v>
      </c>
      <c r="E31" s="11">
        <f t="shared" si="1"/>
        <v>0</v>
      </c>
      <c r="F31" s="11">
        <f t="shared" si="2"/>
        <v>-1056545700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620</v>
      </c>
      <c r="E32" s="11">
        <f t="shared" si="1"/>
        <v>1</v>
      </c>
      <c r="F32" s="11">
        <f t="shared" si="2"/>
        <v>615471700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614</v>
      </c>
      <c r="E33" s="11">
        <f t="shared" si="1"/>
        <v>1</v>
      </c>
      <c r="F33" s="11">
        <f t="shared" si="2"/>
        <v>21510783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613</v>
      </c>
      <c r="E34" s="11">
        <f t="shared" si="1"/>
        <v>0</v>
      </c>
      <c r="F34" s="11">
        <f t="shared" si="2"/>
        <v>-521050000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605</v>
      </c>
      <c r="E35" s="11">
        <f t="shared" si="1"/>
        <v>0</v>
      </c>
      <c r="F35" s="11">
        <f t="shared" si="2"/>
        <v>-115252500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604</v>
      </c>
      <c r="E36" s="11">
        <f t="shared" si="1"/>
        <v>1</v>
      </c>
      <c r="F36" s="11">
        <f t="shared" si="2"/>
        <v>120600000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604</v>
      </c>
      <c r="E37" s="11">
        <f t="shared" si="1"/>
        <v>0</v>
      </c>
      <c r="F37" s="11">
        <f t="shared" si="2"/>
        <v>-120800000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582</v>
      </c>
      <c r="E38" s="11">
        <f t="shared" si="1"/>
        <v>1</v>
      </c>
      <c r="F38" s="11">
        <f t="shared" si="2"/>
        <v>174768286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581</v>
      </c>
      <c r="E39" s="11">
        <f t="shared" si="1"/>
        <v>0</v>
      </c>
      <c r="F39" s="11">
        <f t="shared" si="2"/>
        <v>-55195000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581</v>
      </c>
      <c r="E40" s="11">
        <f t="shared" si="1"/>
        <v>0</v>
      </c>
      <c r="F40" s="11">
        <f t="shared" si="2"/>
        <v>-51187843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576</v>
      </c>
      <c r="E41" s="11">
        <f t="shared" si="1"/>
        <v>0</v>
      </c>
      <c r="F41" s="11">
        <f t="shared" si="2"/>
        <v>-69120000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554</v>
      </c>
      <c r="E42" s="11">
        <f t="shared" si="1"/>
        <v>1</v>
      </c>
      <c r="F42" s="11">
        <f t="shared" si="2"/>
        <v>553112812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550</v>
      </c>
      <c r="E43" s="11">
        <f t="shared" si="1"/>
        <v>0</v>
      </c>
      <c r="F43" s="11">
        <f t="shared" si="2"/>
        <v>-44000000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546</v>
      </c>
      <c r="E44" s="11">
        <f t="shared" si="1"/>
        <v>0</v>
      </c>
      <c r="F44" s="11">
        <f t="shared" si="2"/>
        <v>-115221834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545</v>
      </c>
      <c r="E45" s="11">
        <f t="shared" si="1"/>
        <v>0</v>
      </c>
      <c r="F45" s="11">
        <f t="shared" si="2"/>
        <v>-109000000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544</v>
      </c>
      <c r="E46" s="11">
        <f t="shared" si="1"/>
        <v>0</v>
      </c>
      <c r="F46" s="11">
        <f t="shared" si="2"/>
        <v>-51680000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542</v>
      </c>
      <c r="E47" s="11">
        <f t="shared" si="1"/>
        <v>0</v>
      </c>
      <c r="F47" s="11">
        <f t="shared" si="2"/>
        <v>-24390000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542</v>
      </c>
      <c r="E48" s="11">
        <f t="shared" si="1"/>
        <v>0</v>
      </c>
      <c r="F48" s="11">
        <f t="shared" si="2"/>
        <v>-34785560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539</v>
      </c>
      <c r="E49" s="11">
        <f t="shared" si="1"/>
        <v>0</v>
      </c>
      <c r="F49" s="11">
        <f t="shared" si="2"/>
        <v>-14813876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538</v>
      </c>
      <c r="E50" s="11">
        <f t="shared" si="1"/>
        <v>0</v>
      </c>
      <c r="F50" s="11">
        <f t="shared" si="2"/>
        <v>-75858000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538</v>
      </c>
      <c r="E51" s="11">
        <f t="shared" si="1"/>
        <v>0</v>
      </c>
      <c r="F51" s="11">
        <f t="shared" si="2"/>
        <v>-14389348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537</v>
      </c>
      <c r="E52" s="11">
        <f t="shared" si="1"/>
        <v>0</v>
      </c>
      <c r="F52" s="11">
        <f t="shared" si="2"/>
        <v>-28622100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536</v>
      </c>
      <c r="E53" s="11">
        <f t="shared" si="1"/>
        <v>1</v>
      </c>
      <c r="F53" s="11">
        <f t="shared" si="2"/>
        <v>535000000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530</v>
      </c>
      <c r="E54" s="11">
        <f t="shared" si="1"/>
        <v>0</v>
      </c>
      <c r="F54" s="11">
        <f t="shared" si="2"/>
        <v>-11130000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529</v>
      </c>
      <c r="E55" s="11">
        <f t="shared" si="1"/>
        <v>0</v>
      </c>
      <c r="F55" s="11">
        <f t="shared" si="2"/>
        <v>-518684500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529</v>
      </c>
      <c r="E56" s="11">
        <f t="shared" si="1"/>
        <v>0</v>
      </c>
      <c r="F56" s="11">
        <f t="shared" si="2"/>
        <v>-23805000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516</v>
      </c>
      <c r="E57" s="11">
        <f t="shared" si="1"/>
        <v>1</v>
      </c>
      <c r="F57" s="11">
        <f t="shared" si="2"/>
        <v>1547672335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516</v>
      </c>
      <c r="E58" s="11">
        <f t="shared" si="1"/>
        <v>1</v>
      </c>
      <c r="F58" s="11">
        <f t="shared" si="2"/>
        <v>1030000000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515</v>
      </c>
      <c r="E59" s="11">
        <f t="shared" si="1"/>
        <v>1</v>
      </c>
      <c r="F59" s="11">
        <f t="shared" si="2"/>
        <v>1028000000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515</v>
      </c>
      <c r="E60" s="11">
        <f t="shared" si="1"/>
        <v>0</v>
      </c>
      <c r="F60" s="11">
        <f t="shared" si="2"/>
        <v>-3605772500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491</v>
      </c>
      <c r="E61" s="11">
        <f t="shared" si="1"/>
        <v>1</v>
      </c>
      <c r="F61" s="11">
        <f t="shared" si="2"/>
        <v>1470000000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490</v>
      </c>
      <c r="E62" s="11">
        <f t="shared" si="1"/>
        <v>0</v>
      </c>
      <c r="F62" s="11">
        <f t="shared" si="2"/>
        <v>-13283410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490</v>
      </c>
      <c r="E63" s="11">
        <f t="shared" si="1"/>
        <v>0</v>
      </c>
      <c r="F63" s="11">
        <f t="shared" si="2"/>
        <v>-16164610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490</v>
      </c>
      <c r="E64" s="11">
        <f t="shared" si="1"/>
        <v>1</v>
      </c>
      <c r="F64" s="11">
        <f t="shared" si="2"/>
        <v>1467000000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490</v>
      </c>
      <c r="E65" s="11">
        <f t="shared" si="1"/>
        <v>1</v>
      </c>
      <c r="F65" s="11">
        <f t="shared" si="2"/>
        <v>1452330000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490</v>
      </c>
      <c r="E66" s="11">
        <f t="shared" si="1"/>
        <v>1</v>
      </c>
      <c r="F66" s="11">
        <f t="shared" si="2"/>
        <v>489000000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490</v>
      </c>
      <c r="E67" s="11">
        <f t="shared" ref="E67:E130" si="4">IF(B67&gt;0,1,0)</f>
        <v>1</v>
      </c>
      <c r="F67" s="11">
        <f t="shared" ref="F67:F200" si="5">B67*(D67-E67)</f>
        <v>14670000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489</v>
      </c>
      <c r="E68" s="11">
        <f t="shared" si="4"/>
        <v>1</v>
      </c>
      <c r="F68" s="11">
        <f t="shared" si="5"/>
        <v>14640000000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488</v>
      </c>
      <c r="E69" s="11">
        <f t="shared" si="4"/>
        <v>0</v>
      </c>
      <c r="F69" s="11">
        <f t="shared" si="5"/>
        <v>-97600000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488</v>
      </c>
      <c r="E70" s="11">
        <f t="shared" si="4"/>
        <v>1</v>
      </c>
      <c r="F70" s="11">
        <f t="shared" si="5"/>
        <v>681800000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488</v>
      </c>
      <c r="E71" s="11">
        <f t="shared" si="4"/>
        <v>1</v>
      </c>
      <c r="F71" s="11">
        <f t="shared" si="5"/>
        <v>1266200000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488</v>
      </c>
      <c r="E72" s="11">
        <f t="shared" si="4"/>
        <v>0</v>
      </c>
      <c r="F72" s="11">
        <f t="shared" si="5"/>
        <v>-488000000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486</v>
      </c>
      <c r="E73" s="11">
        <f t="shared" si="4"/>
        <v>1</v>
      </c>
      <c r="F73" s="11">
        <f t="shared" si="5"/>
        <v>7275000000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481</v>
      </c>
      <c r="E74" s="11">
        <f t="shared" si="4"/>
        <v>0</v>
      </c>
      <c r="F74" s="11">
        <f t="shared" si="5"/>
        <v>-7217020200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479</v>
      </c>
      <c r="E75" s="11">
        <f t="shared" si="4"/>
        <v>0</v>
      </c>
      <c r="F75" s="11">
        <f t="shared" si="5"/>
        <v>-1437000000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479</v>
      </c>
      <c r="E76" s="11">
        <f t="shared" si="4"/>
        <v>0</v>
      </c>
      <c r="F76" s="11">
        <f t="shared" si="5"/>
        <v>-95800000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479</v>
      </c>
      <c r="E77" s="11">
        <f t="shared" si="4"/>
        <v>0</v>
      </c>
      <c r="F77" s="11">
        <f t="shared" si="5"/>
        <v>-5749437000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475</v>
      </c>
      <c r="E78" s="11">
        <f t="shared" si="4"/>
        <v>0</v>
      </c>
      <c r="F78" s="11">
        <f t="shared" si="5"/>
        <v>-1425427500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470</v>
      </c>
      <c r="E79" s="11">
        <f t="shared" si="4"/>
        <v>1</v>
      </c>
      <c r="F79" s="11">
        <f t="shared" si="5"/>
        <v>10787000000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465</v>
      </c>
      <c r="E80" s="11">
        <f t="shared" si="4"/>
        <v>0</v>
      </c>
      <c r="F80" s="11">
        <f t="shared" si="5"/>
        <v>-279232500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465</v>
      </c>
      <c r="E81" s="11">
        <f t="shared" si="4"/>
        <v>0</v>
      </c>
      <c r="F81" s="11">
        <f t="shared" si="5"/>
        <v>-93000000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464</v>
      </c>
      <c r="E82" s="11">
        <f t="shared" si="4"/>
        <v>1</v>
      </c>
      <c r="F82" s="11">
        <f t="shared" si="5"/>
        <v>131131323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464</v>
      </c>
      <c r="E83" s="11">
        <f t="shared" si="4"/>
        <v>0</v>
      </c>
      <c r="F83" s="11">
        <f t="shared" si="5"/>
        <v>-92800000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462</v>
      </c>
      <c r="E84" s="11">
        <f t="shared" si="4"/>
        <v>1</v>
      </c>
      <c r="F84" s="11">
        <f t="shared" si="5"/>
        <v>922000000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459</v>
      </c>
      <c r="E85" s="11">
        <f t="shared" si="4"/>
        <v>0</v>
      </c>
      <c r="F85" s="11">
        <f t="shared" si="5"/>
        <v>-91800000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453</v>
      </c>
      <c r="E86" s="11">
        <f t="shared" si="4"/>
        <v>0</v>
      </c>
      <c r="F86" s="11">
        <f t="shared" si="5"/>
        <v>-90600000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451</v>
      </c>
      <c r="E87" s="11">
        <f t="shared" si="4"/>
        <v>0</v>
      </c>
      <c r="F87" s="11">
        <f t="shared" si="5"/>
        <v>-597575000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436</v>
      </c>
      <c r="E88" s="11">
        <f t="shared" si="4"/>
        <v>0</v>
      </c>
      <c r="F88" s="11">
        <f t="shared" si="5"/>
        <v>-218000000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436</v>
      </c>
      <c r="E89" s="11">
        <f t="shared" si="4"/>
        <v>0</v>
      </c>
      <c r="F89" s="11">
        <f t="shared" si="5"/>
        <v>-52320000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434</v>
      </c>
      <c r="E90" s="11">
        <f t="shared" si="4"/>
        <v>1</v>
      </c>
      <c r="F90" s="11">
        <f t="shared" si="5"/>
        <v>185412765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431</v>
      </c>
      <c r="E91" s="11">
        <f t="shared" si="4"/>
        <v>0</v>
      </c>
      <c r="F91" s="11">
        <f t="shared" si="5"/>
        <v>-1293862000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429</v>
      </c>
      <c r="E92" s="11">
        <f t="shared" si="4"/>
        <v>0</v>
      </c>
      <c r="F92" s="11">
        <f t="shared" si="5"/>
        <v>-87945000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429</v>
      </c>
      <c r="E93" s="11">
        <f t="shared" si="4"/>
        <v>0</v>
      </c>
      <c r="F93" s="11">
        <f t="shared" si="5"/>
        <v>-150364500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418</v>
      </c>
      <c r="E94" s="11">
        <f t="shared" si="4"/>
        <v>1</v>
      </c>
      <c r="F94" s="11">
        <f t="shared" si="5"/>
        <v>417000000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413</v>
      </c>
      <c r="E95" s="11">
        <f t="shared" si="4"/>
        <v>1</v>
      </c>
      <c r="F95" s="11">
        <f t="shared" si="5"/>
        <v>3708000000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411</v>
      </c>
      <c r="E96" s="11">
        <f t="shared" si="4"/>
        <v>0</v>
      </c>
      <c r="F96" s="11">
        <f t="shared" si="5"/>
        <v>-10686000000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411</v>
      </c>
      <c r="E97" s="11">
        <f t="shared" si="4"/>
        <v>0</v>
      </c>
      <c r="F97" s="11">
        <f t="shared" si="5"/>
        <v>-10686000000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411</v>
      </c>
      <c r="E98" s="11">
        <f t="shared" si="4"/>
        <v>1</v>
      </c>
      <c r="F98" s="11">
        <f t="shared" si="5"/>
        <v>10660000000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411</v>
      </c>
      <c r="E99" s="11">
        <f t="shared" si="4"/>
        <v>0</v>
      </c>
      <c r="F99" s="11">
        <f t="shared" si="5"/>
        <v>-82200000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409</v>
      </c>
      <c r="E100" s="11">
        <f t="shared" si="4"/>
        <v>1</v>
      </c>
      <c r="F100" s="11">
        <f t="shared" si="5"/>
        <v>11913600000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404</v>
      </c>
      <c r="E101" s="11">
        <f t="shared" si="4"/>
        <v>1</v>
      </c>
      <c r="F101" s="11">
        <f t="shared" si="5"/>
        <v>161177835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403</v>
      </c>
      <c r="E102" s="11">
        <f t="shared" si="4"/>
        <v>1</v>
      </c>
      <c r="F102" s="11">
        <f t="shared" si="5"/>
        <v>804000000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402</v>
      </c>
      <c r="E103" s="11">
        <f t="shared" si="4"/>
        <v>1</v>
      </c>
      <c r="F103" s="11">
        <f t="shared" si="5"/>
        <v>3007500000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402</v>
      </c>
      <c r="E104" s="11">
        <f t="shared" si="4"/>
        <v>0</v>
      </c>
      <c r="F104" s="11">
        <f t="shared" si="5"/>
        <v>-26532000000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402</v>
      </c>
      <c r="E105" s="11">
        <f t="shared" si="4"/>
        <v>0</v>
      </c>
      <c r="F105" s="11">
        <f t="shared" si="5"/>
        <v>-58290000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400</v>
      </c>
      <c r="E106" s="11">
        <f t="shared" si="4"/>
        <v>1</v>
      </c>
      <c r="F106" s="11">
        <f t="shared" si="5"/>
        <v>2394000000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398</v>
      </c>
      <c r="E107" s="11">
        <f t="shared" si="4"/>
        <v>0</v>
      </c>
      <c r="F107" s="11">
        <f t="shared" si="5"/>
        <v>-2390348200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395</v>
      </c>
      <c r="E108" s="11">
        <f t="shared" si="4"/>
        <v>1</v>
      </c>
      <c r="F108" s="11">
        <f t="shared" si="5"/>
        <v>2364000000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383</v>
      </c>
      <c r="E109" s="11">
        <f t="shared" si="4"/>
        <v>0</v>
      </c>
      <c r="F109" s="11">
        <f t="shared" si="5"/>
        <v>-45960000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382</v>
      </c>
      <c r="E110" s="11">
        <f t="shared" si="4"/>
        <v>1</v>
      </c>
      <c r="F110" s="11">
        <f t="shared" si="5"/>
        <v>1524000000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381</v>
      </c>
      <c r="E111" s="11">
        <f t="shared" si="4"/>
        <v>1</v>
      </c>
      <c r="F111" s="11">
        <f t="shared" si="5"/>
        <v>1064000000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377</v>
      </c>
      <c r="E112" s="11">
        <f t="shared" si="4"/>
        <v>0</v>
      </c>
      <c r="F112" s="11">
        <f t="shared" si="5"/>
        <v>-75400000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376</v>
      </c>
      <c r="E113" s="11">
        <f t="shared" si="4"/>
        <v>1</v>
      </c>
      <c r="F113" s="11">
        <f t="shared" si="5"/>
        <v>27116250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359</v>
      </c>
      <c r="E114" s="11">
        <f t="shared" si="4"/>
        <v>0</v>
      </c>
      <c r="F114" s="11">
        <f t="shared" si="5"/>
        <v>-71800000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358</v>
      </c>
      <c r="E115" s="11">
        <f t="shared" si="4"/>
        <v>0</v>
      </c>
      <c r="F115" s="23">
        <f t="shared" si="5"/>
        <v>-3938000000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358</v>
      </c>
      <c r="E116" s="11">
        <f t="shared" si="4"/>
        <v>0</v>
      </c>
      <c r="F116" s="11">
        <f t="shared" si="5"/>
        <v>-71600000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356</v>
      </c>
      <c r="E117" s="11">
        <f t="shared" si="4"/>
        <v>0</v>
      </c>
      <c r="F117" s="11">
        <f t="shared" si="5"/>
        <v>-160378000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356</v>
      </c>
      <c r="E118" s="11">
        <f t="shared" si="4"/>
        <v>0</v>
      </c>
      <c r="F118" s="11">
        <f t="shared" si="5"/>
        <v>-71200000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350</v>
      </c>
      <c r="E119" s="11">
        <f t="shared" si="4"/>
        <v>0</v>
      </c>
      <c r="F119" s="11">
        <f t="shared" si="5"/>
        <v>-54092500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350</v>
      </c>
      <c r="E120" s="11">
        <f t="shared" si="4"/>
        <v>0</v>
      </c>
      <c r="F120" s="11">
        <f t="shared" si="5"/>
        <v>-112000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349</v>
      </c>
      <c r="E121" s="11">
        <f t="shared" si="4"/>
        <v>0</v>
      </c>
      <c r="F121" s="11">
        <f t="shared" si="5"/>
        <v>-150768000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343</v>
      </c>
      <c r="E122" s="11">
        <f t="shared" si="4"/>
        <v>1</v>
      </c>
      <c r="F122" s="11">
        <f t="shared" si="5"/>
        <v>25322706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322</v>
      </c>
      <c r="E123" s="11">
        <f t="shared" si="4"/>
        <v>0</v>
      </c>
      <c r="F123" s="11">
        <f t="shared" si="5"/>
        <v>-16744000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281</v>
      </c>
      <c r="E124" s="11">
        <f t="shared" si="4"/>
        <v>1</v>
      </c>
      <c r="F124" s="11">
        <f t="shared" si="5"/>
        <v>332360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280</v>
      </c>
      <c r="E125" s="11">
        <f t="shared" si="4"/>
        <v>1</v>
      </c>
      <c r="F125" s="11">
        <f t="shared" si="5"/>
        <v>669600000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278</v>
      </c>
      <c r="E126" s="11">
        <f t="shared" si="4"/>
        <v>1</v>
      </c>
      <c r="F126" s="11">
        <f t="shared" si="5"/>
        <v>371955600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278</v>
      </c>
      <c r="E127" s="11">
        <f t="shared" si="4"/>
        <v>1</v>
      </c>
      <c r="F127" s="11">
        <f t="shared" si="5"/>
        <v>371955600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266</v>
      </c>
      <c r="E128" s="11">
        <f t="shared" si="4"/>
        <v>0</v>
      </c>
      <c r="F128" s="11">
        <f t="shared" si="5"/>
        <v>-53200000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264</v>
      </c>
      <c r="E129" s="11">
        <f t="shared" si="4"/>
        <v>0</v>
      </c>
      <c r="F129" s="11">
        <f>B129*(D129-E129)</f>
        <v>-4123152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263</v>
      </c>
      <c r="E130" s="11">
        <f t="shared" si="4"/>
        <v>0</v>
      </c>
      <c r="F130" s="11">
        <f t="shared" si="5"/>
        <v>-52600000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262</v>
      </c>
      <c r="E131" s="11">
        <f t="shared" ref="E131:E201" si="7">IF(B131&gt;0,1,0)</f>
        <v>0</v>
      </c>
      <c r="F131" s="11">
        <f t="shared" si="5"/>
        <v>-52400000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261</v>
      </c>
      <c r="E132" s="11">
        <f t="shared" si="7"/>
        <v>0</v>
      </c>
      <c r="F132" s="11">
        <f t="shared" si="5"/>
        <v>-101790000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261</v>
      </c>
      <c r="E133" s="11">
        <f t="shared" si="7"/>
        <v>0</v>
      </c>
      <c r="F133" s="11">
        <f t="shared" si="5"/>
        <v>-6394500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260</v>
      </c>
      <c r="E134" s="11">
        <f t="shared" si="7"/>
        <v>0</v>
      </c>
      <c r="F134" s="11">
        <f t="shared" si="5"/>
        <v>-24700000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256</v>
      </c>
      <c r="E135" s="11">
        <f t="shared" si="7"/>
        <v>0</v>
      </c>
      <c r="F135" s="11">
        <f t="shared" si="5"/>
        <v>-51200000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254</v>
      </c>
      <c r="E136" s="11">
        <f t="shared" si="7"/>
        <v>1</v>
      </c>
      <c r="F136" s="11">
        <f t="shared" si="5"/>
        <v>12650000000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253</v>
      </c>
      <c r="E137" s="11">
        <f t="shared" si="7"/>
        <v>1</v>
      </c>
      <c r="F137" s="11">
        <f t="shared" si="5"/>
        <v>3024000000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251</v>
      </c>
      <c r="E138" s="11">
        <f t="shared" si="7"/>
        <v>1</v>
      </c>
      <c r="F138" s="11">
        <f t="shared" si="5"/>
        <v>500000000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250</v>
      </c>
      <c r="E139" s="11">
        <f t="shared" si="7"/>
        <v>1</v>
      </c>
      <c r="F139" s="11">
        <f t="shared" si="5"/>
        <v>21796962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237</v>
      </c>
      <c r="E140" s="11">
        <f t="shared" si="7"/>
        <v>0</v>
      </c>
      <c r="F140" s="11">
        <f t="shared" si="5"/>
        <v>-711213300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236</v>
      </c>
      <c r="E141" s="11">
        <f t="shared" si="7"/>
        <v>0</v>
      </c>
      <c r="F141" s="11">
        <f t="shared" si="5"/>
        <v>-708212400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219</v>
      </c>
      <c r="E142" s="11">
        <f t="shared" si="7"/>
        <v>1</v>
      </c>
      <c r="F142" s="11">
        <f t="shared" si="5"/>
        <v>131241450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219</v>
      </c>
      <c r="E143" s="11">
        <f t="shared" si="7"/>
        <v>0</v>
      </c>
      <c r="F143" s="11">
        <f t="shared" si="5"/>
        <v>-10074000000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188</v>
      </c>
      <c r="E144" s="11">
        <f t="shared" si="7"/>
        <v>1</v>
      </c>
      <c r="F144" s="11">
        <f t="shared" si="5"/>
        <v>28818009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187</v>
      </c>
      <c r="E145" s="11">
        <f t="shared" si="7"/>
        <v>1</v>
      </c>
      <c r="F145" s="11">
        <f t="shared" si="5"/>
        <v>558000000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184</v>
      </c>
      <c r="E146" s="11">
        <f t="shared" si="7"/>
        <v>0</v>
      </c>
      <c r="F146" s="11">
        <f t="shared" si="5"/>
        <v>-36800000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179</v>
      </c>
      <c r="E147" s="11">
        <f t="shared" si="7"/>
        <v>0</v>
      </c>
      <c r="F147" s="11">
        <f t="shared" si="5"/>
        <v>-35800000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178</v>
      </c>
      <c r="E148" s="11">
        <f t="shared" si="7"/>
        <v>0</v>
      </c>
      <c r="F148" s="11">
        <f t="shared" si="5"/>
        <v>-35600000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174</v>
      </c>
      <c r="E149" s="11">
        <f t="shared" si="7"/>
        <v>0</v>
      </c>
      <c r="F149" s="11">
        <f t="shared" si="5"/>
        <v>-34800000</v>
      </c>
      <c r="G149" s="11" t="s">
        <v>158</v>
      </c>
    </row>
    <row r="150" spans="1:11" x14ac:dyDescent="0.25">
      <c r="A150" s="11" t="s">
        <v>712</v>
      </c>
      <c r="B150" s="3">
        <v>24073400</v>
      </c>
      <c r="C150" s="11">
        <v>2</v>
      </c>
      <c r="D150" s="11">
        <f t="shared" si="6"/>
        <v>173</v>
      </c>
      <c r="E150" s="11">
        <f t="shared" si="7"/>
        <v>1</v>
      </c>
      <c r="F150" s="11">
        <f t="shared" si="5"/>
        <v>4140624800</v>
      </c>
      <c r="G150" s="11" t="s">
        <v>713</v>
      </c>
    </row>
    <row r="151" spans="1:11" x14ac:dyDescent="0.25">
      <c r="A151" s="11" t="s">
        <v>722</v>
      </c>
      <c r="B151" s="3">
        <v>-200000</v>
      </c>
      <c r="C151" s="11">
        <v>6</v>
      </c>
      <c r="D151" s="11">
        <f t="shared" si="6"/>
        <v>171</v>
      </c>
      <c r="E151" s="11">
        <f t="shared" si="7"/>
        <v>0</v>
      </c>
      <c r="F151" s="11">
        <f t="shared" si="5"/>
        <v>-34200000</v>
      </c>
      <c r="G151" s="11" t="s">
        <v>158</v>
      </c>
    </row>
    <row r="152" spans="1:11" x14ac:dyDescent="0.25">
      <c r="A152" s="11" t="s">
        <v>724</v>
      </c>
      <c r="B152" s="3">
        <v>-30000000</v>
      </c>
      <c r="C152" s="11">
        <v>1</v>
      </c>
      <c r="D152" s="11">
        <f t="shared" si="6"/>
        <v>165</v>
      </c>
      <c r="E152" s="11">
        <f t="shared" si="7"/>
        <v>0</v>
      </c>
      <c r="F152" s="11">
        <f t="shared" si="5"/>
        <v>-4950000000</v>
      </c>
      <c r="G152" s="11" t="s">
        <v>725</v>
      </c>
    </row>
    <row r="153" spans="1:11" x14ac:dyDescent="0.25">
      <c r="A153" s="11" t="s">
        <v>732</v>
      </c>
      <c r="B153" s="3">
        <v>-52000</v>
      </c>
      <c r="C153" s="11">
        <v>0</v>
      </c>
      <c r="D153" s="11">
        <f t="shared" si="6"/>
        <v>164</v>
      </c>
      <c r="E153" s="11">
        <f t="shared" si="7"/>
        <v>0</v>
      </c>
      <c r="F153" s="11">
        <f t="shared" si="5"/>
        <v>-8528000</v>
      </c>
      <c r="G153" s="11" t="s">
        <v>733</v>
      </c>
    </row>
    <row r="154" spans="1:11" x14ac:dyDescent="0.25">
      <c r="A154" s="11" t="s">
        <v>732</v>
      </c>
      <c r="B154" s="3">
        <v>-136000</v>
      </c>
      <c r="C154" s="11">
        <v>5</v>
      </c>
      <c r="D154" s="11">
        <f t="shared" si="6"/>
        <v>164</v>
      </c>
      <c r="E154" s="11">
        <f t="shared" si="7"/>
        <v>0</v>
      </c>
      <c r="F154" s="11">
        <f t="shared" si="5"/>
        <v>-22304000</v>
      </c>
      <c r="G154" s="11" t="s">
        <v>734</v>
      </c>
    </row>
    <row r="155" spans="1:11" x14ac:dyDescent="0.25">
      <c r="A155" s="11" t="s">
        <v>737</v>
      </c>
      <c r="B155" s="3">
        <v>3000000</v>
      </c>
      <c r="C155" s="11">
        <v>1</v>
      </c>
      <c r="D155" s="11">
        <f t="shared" si="6"/>
        <v>159</v>
      </c>
      <c r="E155" s="11">
        <f t="shared" si="7"/>
        <v>1</v>
      </c>
      <c r="F155" s="11">
        <f t="shared" si="5"/>
        <v>474000000</v>
      </c>
      <c r="G155" s="11" t="s">
        <v>738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158</v>
      </c>
      <c r="E156" s="11">
        <f t="shared" si="7"/>
        <v>1</v>
      </c>
      <c r="F156" s="11">
        <f t="shared" si="5"/>
        <v>29689171</v>
      </c>
      <c r="G156" s="11" t="s">
        <v>739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158</v>
      </c>
      <c r="E157" s="11">
        <f t="shared" si="7"/>
        <v>1</v>
      </c>
      <c r="F157" s="11">
        <f t="shared" si="5"/>
        <v>3803748900</v>
      </c>
      <c r="G157" s="11" t="s">
        <v>740</v>
      </c>
    </row>
    <row r="158" spans="1:11" x14ac:dyDescent="0.25">
      <c r="A158" s="11" t="s">
        <v>760</v>
      </c>
      <c r="B158" s="3">
        <v>24295200</v>
      </c>
      <c r="C158" s="11">
        <v>0</v>
      </c>
      <c r="D158" s="11">
        <f t="shared" si="6"/>
        <v>150</v>
      </c>
      <c r="E158" s="11">
        <f t="shared" si="7"/>
        <v>1</v>
      </c>
      <c r="F158" s="11">
        <f t="shared" si="5"/>
        <v>3619984800</v>
      </c>
      <c r="G158" s="11" t="s">
        <v>754</v>
      </c>
    </row>
    <row r="159" spans="1:11" x14ac:dyDescent="0.25">
      <c r="A159" s="11" t="s">
        <v>760</v>
      </c>
      <c r="B159" s="3">
        <v>-201000</v>
      </c>
      <c r="C159" s="11">
        <v>5</v>
      </c>
      <c r="D159" s="11">
        <f t="shared" si="6"/>
        <v>150</v>
      </c>
      <c r="E159" s="11">
        <f t="shared" si="7"/>
        <v>0</v>
      </c>
      <c r="F159" s="11">
        <f t="shared" si="5"/>
        <v>-30150000</v>
      </c>
      <c r="G159" s="11" t="s">
        <v>767</v>
      </c>
    </row>
    <row r="160" spans="1:11" x14ac:dyDescent="0.25">
      <c r="A160" s="11" t="s">
        <v>768</v>
      </c>
      <c r="B160" s="3">
        <v>-200000</v>
      </c>
      <c r="C160" s="11">
        <v>3</v>
      </c>
      <c r="D160" s="11">
        <f t="shared" si="6"/>
        <v>145</v>
      </c>
      <c r="E160" s="11">
        <f t="shared" si="7"/>
        <v>0</v>
      </c>
      <c r="F160" s="11">
        <f t="shared" si="5"/>
        <v>-29000000</v>
      </c>
      <c r="G160" s="11" t="s">
        <v>769</v>
      </c>
    </row>
    <row r="161" spans="1:7" x14ac:dyDescent="0.25">
      <c r="A161" s="11" t="s">
        <v>775</v>
      </c>
      <c r="B161" s="3">
        <v>-200000</v>
      </c>
      <c r="C161" s="11">
        <v>4</v>
      </c>
      <c r="D161" s="11">
        <f t="shared" si="6"/>
        <v>142</v>
      </c>
      <c r="E161" s="11">
        <f t="shared" si="7"/>
        <v>0</v>
      </c>
      <c r="F161" s="11">
        <f t="shared" si="5"/>
        <v>-28400000</v>
      </c>
      <c r="G161" s="11" t="s">
        <v>769</v>
      </c>
    </row>
    <row r="162" spans="1:7" x14ac:dyDescent="0.25">
      <c r="A162" s="11" t="s">
        <v>777</v>
      </c>
      <c r="B162" s="3">
        <v>-200000</v>
      </c>
      <c r="C162" s="11">
        <v>3</v>
      </c>
      <c r="D162" s="11">
        <f t="shared" si="6"/>
        <v>138</v>
      </c>
      <c r="E162" s="11">
        <f t="shared" si="7"/>
        <v>0</v>
      </c>
      <c r="F162" s="11">
        <f t="shared" si="5"/>
        <v>-27600000</v>
      </c>
      <c r="G162" s="11" t="s">
        <v>769</v>
      </c>
    </row>
    <row r="163" spans="1:7" x14ac:dyDescent="0.25">
      <c r="A163" s="11" t="s">
        <v>778</v>
      </c>
      <c r="B163" s="3">
        <v>-200000</v>
      </c>
      <c r="C163" s="11">
        <v>7</v>
      </c>
      <c r="D163" s="11">
        <f t="shared" si="6"/>
        <v>135</v>
      </c>
      <c r="E163" s="11">
        <f t="shared" si="7"/>
        <v>0</v>
      </c>
      <c r="F163" s="11">
        <f t="shared" si="5"/>
        <v>-27000000</v>
      </c>
      <c r="G163" s="11" t="s">
        <v>769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128</v>
      </c>
      <c r="E164" s="11">
        <f t="shared" si="7"/>
        <v>1</v>
      </c>
      <c r="F164" s="11">
        <f t="shared" si="5"/>
        <v>58124598</v>
      </c>
      <c r="G164" s="11" t="s">
        <v>782</v>
      </c>
    </row>
    <row r="165" spans="1:7" x14ac:dyDescent="0.25">
      <c r="A165" s="11" t="s">
        <v>787</v>
      </c>
      <c r="B165" s="3">
        <v>2700000</v>
      </c>
      <c r="C165" s="11">
        <v>0</v>
      </c>
      <c r="D165" s="11">
        <f t="shared" si="6"/>
        <v>125</v>
      </c>
      <c r="E165" s="11">
        <f t="shared" si="7"/>
        <v>1</v>
      </c>
      <c r="F165" s="11">
        <f t="shared" si="5"/>
        <v>334800000</v>
      </c>
      <c r="G165" s="11" t="s">
        <v>788</v>
      </c>
    </row>
    <row r="166" spans="1:7" x14ac:dyDescent="0.25">
      <c r="A166" s="11" t="s">
        <v>787</v>
      </c>
      <c r="B166" s="3">
        <v>2500000</v>
      </c>
      <c r="C166" s="11">
        <v>7</v>
      </c>
      <c r="D166" s="11">
        <f t="shared" si="6"/>
        <v>125</v>
      </c>
      <c r="E166" s="11">
        <f t="shared" si="7"/>
        <v>1</v>
      </c>
      <c r="F166" s="11">
        <f t="shared" si="5"/>
        <v>310000000</v>
      </c>
      <c r="G166" s="11" t="s">
        <v>789</v>
      </c>
    </row>
    <row r="167" spans="1:7" x14ac:dyDescent="0.25">
      <c r="A167" s="11" t="s">
        <v>802</v>
      </c>
      <c r="B167" s="3">
        <v>-200000</v>
      </c>
      <c r="C167" s="11">
        <v>2</v>
      </c>
      <c r="D167" s="11">
        <f t="shared" si="6"/>
        <v>118</v>
      </c>
      <c r="E167" s="11">
        <f t="shared" si="7"/>
        <v>0</v>
      </c>
      <c r="F167" s="11">
        <f t="shared" si="5"/>
        <v>-23600000</v>
      </c>
      <c r="G167" s="11" t="s">
        <v>502</v>
      </c>
    </row>
    <row r="168" spans="1:7" x14ac:dyDescent="0.25">
      <c r="A168" s="11" t="s">
        <v>804</v>
      </c>
      <c r="B168" s="3">
        <v>-200000</v>
      </c>
      <c r="C168" s="11">
        <v>6</v>
      </c>
      <c r="D168" s="11">
        <f t="shared" si="6"/>
        <v>116</v>
      </c>
      <c r="E168" s="11">
        <f t="shared" si="7"/>
        <v>0</v>
      </c>
      <c r="F168" s="11">
        <f t="shared" si="5"/>
        <v>-23200000</v>
      </c>
      <c r="G168" s="11" t="s">
        <v>502</v>
      </c>
    </row>
    <row r="169" spans="1:7" x14ac:dyDescent="0.25">
      <c r="A169" s="11" t="s">
        <v>806</v>
      </c>
      <c r="B169" s="3">
        <v>-200000</v>
      </c>
      <c r="C169" s="11">
        <v>3</v>
      </c>
      <c r="D169" s="11">
        <f t="shared" si="6"/>
        <v>110</v>
      </c>
      <c r="E169" s="11">
        <f t="shared" si="7"/>
        <v>0</v>
      </c>
      <c r="F169" s="11">
        <f t="shared" si="5"/>
        <v>-22000000</v>
      </c>
      <c r="G169" s="11" t="s">
        <v>502</v>
      </c>
    </row>
    <row r="170" spans="1:7" x14ac:dyDescent="0.25">
      <c r="A170" s="11" t="s">
        <v>811</v>
      </c>
      <c r="B170" s="3">
        <v>-200000</v>
      </c>
      <c r="C170" s="11">
        <v>0</v>
      </c>
      <c r="D170" s="11">
        <f t="shared" si="6"/>
        <v>107</v>
      </c>
      <c r="E170" s="11">
        <f t="shared" si="7"/>
        <v>0</v>
      </c>
      <c r="F170" s="11">
        <f t="shared" si="5"/>
        <v>-21400000</v>
      </c>
      <c r="G170" s="11" t="s">
        <v>502</v>
      </c>
    </row>
    <row r="171" spans="1:7" x14ac:dyDescent="0.25">
      <c r="A171" s="11" t="s">
        <v>811</v>
      </c>
      <c r="B171" s="3">
        <v>3000000</v>
      </c>
      <c r="C171" s="11">
        <v>3</v>
      </c>
      <c r="D171" s="11">
        <f t="shared" si="6"/>
        <v>107</v>
      </c>
      <c r="E171" s="11">
        <f t="shared" si="7"/>
        <v>1</v>
      </c>
      <c r="F171" s="11">
        <f t="shared" si="5"/>
        <v>318000000</v>
      </c>
      <c r="G171" s="11" t="s">
        <v>812</v>
      </c>
    </row>
    <row r="172" spans="1:7" x14ac:dyDescent="0.25">
      <c r="A172" s="11" t="s">
        <v>814</v>
      </c>
      <c r="B172" s="3">
        <v>-200000</v>
      </c>
      <c r="C172" s="11">
        <v>1</v>
      </c>
      <c r="D172" s="11">
        <f t="shared" si="6"/>
        <v>104</v>
      </c>
      <c r="E172" s="11">
        <f t="shared" si="7"/>
        <v>0</v>
      </c>
      <c r="F172" s="11">
        <f t="shared" si="5"/>
        <v>-20800000</v>
      </c>
      <c r="G172" s="11" t="s">
        <v>158</v>
      </c>
    </row>
    <row r="173" spans="1:7" x14ac:dyDescent="0.25">
      <c r="A173" s="11" t="s">
        <v>814</v>
      </c>
      <c r="B173" s="3">
        <v>3000000</v>
      </c>
      <c r="C173" s="11">
        <v>1</v>
      </c>
      <c r="D173" s="11">
        <f t="shared" si="6"/>
        <v>103</v>
      </c>
      <c r="E173" s="11">
        <f t="shared" si="7"/>
        <v>1</v>
      </c>
      <c r="F173" s="11">
        <f t="shared" si="5"/>
        <v>306000000</v>
      </c>
      <c r="G173" s="11" t="s">
        <v>817</v>
      </c>
    </row>
    <row r="174" spans="1:7" x14ac:dyDescent="0.25">
      <c r="A174" s="11" t="s">
        <v>815</v>
      </c>
      <c r="B174" s="3">
        <v>2000000</v>
      </c>
      <c r="C174" s="11">
        <v>1</v>
      </c>
      <c r="D174" s="11">
        <f t="shared" si="6"/>
        <v>102</v>
      </c>
      <c r="E174" s="11">
        <f t="shared" si="7"/>
        <v>1</v>
      </c>
      <c r="F174" s="11">
        <f t="shared" si="5"/>
        <v>202000000</v>
      </c>
      <c r="G174" s="11" t="s">
        <v>818</v>
      </c>
    </row>
    <row r="175" spans="1:7" x14ac:dyDescent="0.25">
      <c r="A175" s="11" t="s">
        <v>815</v>
      </c>
      <c r="B175" s="3">
        <v>1300000</v>
      </c>
      <c r="C175" s="11">
        <v>2</v>
      </c>
      <c r="D175" s="11">
        <f t="shared" si="6"/>
        <v>101</v>
      </c>
      <c r="E175" s="11">
        <f t="shared" si="7"/>
        <v>1</v>
      </c>
      <c r="F175" s="11">
        <f t="shared" si="5"/>
        <v>130000000</v>
      </c>
      <c r="G175" s="11" t="s">
        <v>819</v>
      </c>
    </row>
    <row r="176" spans="1:7" x14ac:dyDescent="0.25">
      <c r="A176" s="11" t="s">
        <v>823</v>
      </c>
      <c r="B176" s="3">
        <v>-200000</v>
      </c>
      <c r="C176" s="11">
        <v>0</v>
      </c>
      <c r="D176" s="11">
        <f t="shared" si="6"/>
        <v>99</v>
      </c>
      <c r="E176" s="11">
        <f t="shared" si="7"/>
        <v>0</v>
      </c>
      <c r="F176" s="11">
        <f t="shared" si="5"/>
        <v>-19800000</v>
      </c>
      <c r="G176" s="11" t="s">
        <v>769</v>
      </c>
    </row>
    <row r="177" spans="1:7" x14ac:dyDescent="0.25">
      <c r="A177" s="11" t="s">
        <v>823</v>
      </c>
      <c r="B177" s="3">
        <v>1700000</v>
      </c>
      <c r="C177" s="11">
        <v>1</v>
      </c>
      <c r="D177" s="11">
        <f t="shared" si="6"/>
        <v>99</v>
      </c>
      <c r="E177" s="11">
        <f t="shared" si="7"/>
        <v>1</v>
      </c>
      <c r="F177" s="11">
        <f t="shared" si="5"/>
        <v>166600000</v>
      </c>
      <c r="G177" s="11" t="s">
        <v>824</v>
      </c>
    </row>
    <row r="178" spans="1:7" x14ac:dyDescent="0.25">
      <c r="A178" s="11" t="s">
        <v>825</v>
      </c>
      <c r="B178" s="3">
        <v>-200000</v>
      </c>
      <c r="C178" s="11">
        <v>1</v>
      </c>
      <c r="D178" s="11">
        <f t="shared" si="6"/>
        <v>98</v>
      </c>
      <c r="E178" s="11">
        <f t="shared" si="7"/>
        <v>0</v>
      </c>
      <c r="F178" s="11">
        <f t="shared" si="5"/>
        <v>-19600000</v>
      </c>
      <c r="G178" s="11" t="s">
        <v>502</v>
      </c>
    </row>
    <row r="179" spans="1:7" x14ac:dyDescent="0.25">
      <c r="A179" s="11" t="s">
        <v>828</v>
      </c>
      <c r="B179" s="3">
        <v>571492</v>
      </c>
      <c r="C179" s="11">
        <v>3</v>
      </c>
      <c r="D179" s="11">
        <f t="shared" si="6"/>
        <v>97</v>
      </c>
      <c r="E179" s="11">
        <f t="shared" si="7"/>
        <v>1</v>
      </c>
      <c r="F179" s="11">
        <f t="shared" si="5"/>
        <v>54863232</v>
      </c>
      <c r="G179" s="11" t="s">
        <v>242</v>
      </c>
    </row>
    <row r="180" spans="1:7" x14ac:dyDescent="0.25">
      <c r="A180" s="11" t="s">
        <v>833</v>
      </c>
      <c r="B180" s="3">
        <v>3000000</v>
      </c>
      <c r="C180" s="11">
        <v>7</v>
      </c>
      <c r="D180" s="11">
        <f t="shared" si="6"/>
        <v>94</v>
      </c>
      <c r="E180" s="11">
        <f t="shared" si="7"/>
        <v>1</v>
      </c>
      <c r="F180" s="11">
        <f t="shared" si="5"/>
        <v>279000000</v>
      </c>
      <c r="G180" s="11" t="s">
        <v>837</v>
      </c>
    </row>
    <row r="181" spans="1:7" x14ac:dyDescent="0.25">
      <c r="A181" s="11" t="s">
        <v>846</v>
      </c>
      <c r="B181" s="3">
        <v>2000000</v>
      </c>
      <c r="C181" s="11">
        <v>8</v>
      </c>
      <c r="D181" s="11">
        <f t="shared" si="6"/>
        <v>87</v>
      </c>
      <c r="E181" s="11">
        <f t="shared" si="7"/>
        <v>1</v>
      </c>
      <c r="F181" s="11">
        <f t="shared" si="5"/>
        <v>172000000</v>
      </c>
      <c r="G181" s="11" t="s">
        <v>847</v>
      </c>
    </row>
    <row r="182" spans="1:7" x14ac:dyDescent="0.25">
      <c r="A182" s="11" t="s">
        <v>859</v>
      </c>
      <c r="B182" s="3">
        <v>-2200700</v>
      </c>
      <c r="C182" s="11">
        <v>12</v>
      </c>
      <c r="D182" s="11">
        <f t="shared" si="6"/>
        <v>79</v>
      </c>
      <c r="E182" s="11">
        <f t="shared" si="7"/>
        <v>0</v>
      </c>
      <c r="F182" s="11">
        <f t="shared" si="5"/>
        <v>-173855300</v>
      </c>
      <c r="G182" s="11" t="s">
        <v>861</v>
      </c>
    </row>
    <row r="183" spans="1:7" x14ac:dyDescent="0.25">
      <c r="A183" s="11" t="s">
        <v>869</v>
      </c>
      <c r="B183" s="3">
        <v>675087</v>
      </c>
      <c r="C183" s="11">
        <v>30</v>
      </c>
      <c r="D183" s="11">
        <f t="shared" si="6"/>
        <v>67</v>
      </c>
      <c r="E183" s="11">
        <f t="shared" si="7"/>
        <v>1</v>
      </c>
      <c r="F183" s="11">
        <f t="shared" si="5"/>
        <v>44555742</v>
      </c>
      <c r="G183" s="11" t="s">
        <v>264</v>
      </c>
    </row>
    <row r="184" spans="1:7" x14ac:dyDescent="0.25">
      <c r="A184" s="11" t="s">
        <v>907</v>
      </c>
      <c r="B184" s="3">
        <v>677000</v>
      </c>
      <c r="C184" s="11">
        <v>15</v>
      </c>
      <c r="D184" s="11">
        <f>D185+C184</f>
        <v>37</v>
      </c>
      <c r="E184" s="11">
        <f t="shared" si="7"/>
        <v>1</v>
      </c>
      <c r="F184" s="11">
        <f t="shared" si="5"/>
        <v>24372000</v>
      </c>
      <c r="G184" s="11" t="s">
        <v>400</v>
      </c>
    </row>
    <row r="185" spans="1:7" x14ac:dyDescent="0.25">
      <c r="A185" s="11" t="s">
        <v>932</v>
      </c>
      <c r="B185" s="3">
        <v>-10000</v>
      </c>
      <c r="C185" s="11">
        <v>5</v>
      </c>
      <c r="D185" s="11">
        <f t="shared" si="6"/>
        <v>22</v>
      </c>
      <c r="E185" s="11">
        <f t="shared" si="7"/>
        <v>0</v>
      </c>
      <c r="F185" s="11">
        <f t="shared" si="5"/>
        <v>-220000</v>
      </c>
      <c r="G185" s="11" t="s">
        <v>938</v>
      </c>
    </row>
    <row r="186" spans="1:7" x14ac:dyDescent="0.25">
      <c r="A186" s="11" t="s">
        <v>951</v>
      </c>
      <c r="B186" s="3">
        <v>-80500000</v>
      </c>
      <c r="C186" s="11">
        <v>5</v>
      </c>
      <c r="D186" s="11">
        <f t="shared" ref="D186:D201" si="8">D187+C186</f>
        <v>17</v>
      </c>
      <c r="E186" s="11">
        <f t="shared" si="7"/>
        <v>0</v>
      </c>
      <c r="F186" s="11">
        <f t="shared" si="5"/>
        <v>-1368500000</v>
      </c>
      <c r="G186" s="11" t="s">
        <v>1055</v>
      </c>
    </row>
    <row r="187" spans="1:7" x14ac:dyDescent="0.25">
      <c r="A187" s="11" t="s">
        <v>1054</v>
      </c>
      <c r="B187" s="3">
        <v>-1100000</v>
      </c>
      <c r="C187" s="11">
        <v>0</v>
      </c>
      <c r="D187" s="11">
        <f t="shared" si="8"/>
        <v>12</v>
      </c>
      <c r="E187" s="11">
        <f t="shared" si="7"/>
        <v>0</v>
      </c>
      <c r="F187" s="11">
        <f t="shared" si="5"/>
        <v>-13200000</v>
      </c>
      <c r="G187" s="11" t="s">
        <v>1055</v>
      </c>
    </row>
    <row r="188" spans="1:7" x14ac:dyDescent="0.25">
      <c r="A188" s="11" t="s">
        <v>1054</v>
      </c>
      <c r="B188" s="3">
        <v>3000000</v>
      </c>
      <c r="C188" s="11">
        <v>1</v>
      </c>
      <c r="D188" s="11">
        <f t="shared" si="8"/>
        <v>12</v>
      </c>
      <c r="E188" s="11">
        <f t="shared" si="7"/>
        <v>1</v>
      </c>
      <c r="F188" s="11">
        <f t="shared" si="5"/>
        <v>33000000</v>
      </c>
      <c r="G188" s="11" t="s">
        <v>1066</v>
      </c>
    </row>
    <row r="189" spans="1:7" x14ac:dyDescent="0.25">
      <c r="A189" s="11" t="s">
        <v>1065</v>
      </c>
      <c r="B189" s="3">
        <v>2000000</v>
      </c>
      <c r="C189" s="11">
        <v>0</v>
      </c>
      <c r="D189" s="11">
        <f t="shared" si="8"/>
        <v>11</v>
      </c>
      <c r="E189" s="11">
        <f t="shared" si="7"/>
        <v>1</v>
      </c>
      <c r="F189" s="11">
        <f t="shared" si="5"/>
        <v>20000000</v>
      </c>
      <c r="G189" s="11" t="s">
        <v>1066</v>
      </c>
    </row>
    <row r="190" spans="1:7" x14ac:dyDescent="0.25">
      <c r="A190" s="11" t="s">
        <v>1065</v>
      </c>
      <c r="B190" s="3">
        <v>-5000000</v>
      </c>
      <c r="C190" s="11">
        <v>1</v>
      </c>
      <c r="D190" s="11">
        <f t="shared" si="8"/>
        <v>11</v>
      </c>
      <c r="E190" s="11">
        <f t="shared" si="7"/>
        <v>0</v>
      </c>
      <c r="F190" s="11">
        <f t="shared" si="5"/>
        <v>-55000000</v>
      </c>
      <c r="G190" s="11" t="s">
        <v>1055</v>
      </c>
    </row>
    <row r="191" spans="1:7" x14ac:dyDescent="0.25">
      <c r="A191" s="11" t="s">
        <v>1071</v>
      </c>
      <c r="B191" s="3">
        <v>483248</v>
      </c>
      <c r="C191" s="11">
        <v>4</v>
      </c>
      <c r="D191" s="11">
        <f t="shared" si="8"/>
        <v>10</v>
      </c>
      <c r="E191" s="11">
        <f t="shared" si="7"/>
        <v>1</v>
      </c>
      <c r="F191" s="11">
        <f t="shared" si="5"/>
        <v>4349232</v>
      </c>
      <c r="G191" s="11" t="s">
        <v>1073</v>
      </c>
    </row>
    <row r="192" spans="1:7" x14ac:dyDescent="0.25">
      <c r="A192" s="11" t="s">
        <v>1099</v>
      </c>
      <c r="B192" s="3">
        <v>-115300</v>
      </c>
      <c r="C192" s="11">
        <v>4</v>
      </c>
      <c r="D192" s="11">
        <f t="shared" si="8"/>
        <v>6</v>
      </c>
      <c r="E192" s="11">
        <f t="shared" si="7"/>
        <v>0</v>
      </c>
      <c r="F192" s="11">
        <f t="shared" si="5"/>
        <v>-691800</v>
      </c>
      <c r="G192" s="11" t="s">
        <v>1100</v>
      </c>
    </row>
    <row r="193" spans="1:7" x14ac:dyDescent="0.25">
      <c r="A193" s="11" t="s">
        <v>1111</v>
      </c>
      <c r="B193" s="3">
        <v>90000000</v>
      </c>
      <c r="C193" s="11">
        <v>2</v>
      </c>
      <c r="D193" s="11">
        <f t="shared" si="8"/>
        <v>2</v>
      </c>
      <c r="E193" s="11">
        <f t="shared" si="7"/>
        <v>1</v>
      </c>
      <c r="F193" s="11">
        <f t="shared" si="5"/>
        <v>90000000</v>
      </c>
      <c r="G193" s="11" t="s">
        <v>1112</v>
      </c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91984347</v>
      </c>
      <c r="C202" s="11"/>
      <c r="D202" s="11"/>
      <c r="E202" s="11"/>
      <c r="F202" s="29">
        <f>SUM(F2:F200)</f>
        <v>18362846318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27530504.224887557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zoomScaleNormal="100" workbookViewId="0">
      <selection activeCell="N24" activeCellId="5" sqref="L16 L17 L20 N16 N17 N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448</v>
      </c>
      <c r="B1" s="11" t="s">
        <v>446</v>
      </c>
      <c r="C1" s="11" t="s">
        <v>714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954</v>
      </c>
      <c r="N1" s="11" t="s">
        <v>452</v>
      </c>
      <c r="O1" s="11" t="s">
        <v>755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958</v>
      </c>
      <c r="S2" s="29" t="s">
        <v>724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761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715</v>
      </c>
      <c r="N3" s="29">
        <v>46000000</v>
      </c>
      <c r="O3" s="29">
        <v>40000000</v>
      </c>
      <c r="P3" s="11" t="s">
        <v>956</v>
      </c>
      <c r="S3" s="29" t="s">
        <v>760</v>
      </c>
      <c r="T3" s="29">
        <v>6000000</v>
      </c>
      <c r="U3" s="11">
        <v>25</v>
      </c>
      <c r="V3" s="29">
        <f t="shared" si="1"/>
        <v>150000000</v>
      </c>
      <c r="W3" s="11" t="s">
        <v>762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S4" s="29" t="s">
        <v>787</v>
      </c>
      <c r="T4" s="29">
        <v>3500000</v>
      </c>
      <c r="U4" s="11">
        <v>19</v>
      </c>
      <c r="V4" s="29">
        <f t="shared" si="1"/>
        <v>66500000</v>
      </c>
      <c r="W4" s="11" t="s">
        <v>790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716</v>
      </c>
      <c r="N5" s="29">
        <v>27000000</v>
      </c>
      <c r="O5" s="29">
        <v>41000000</v>
      </c>
      <c r="P5" s="11" t="s">
        <v>716</v>
      </c>
      <c r="S5" s="29" t="s">
        <v>813</v>
      </c>
      <c r="T5" s="29">
        <v>500000</v>
      </c>
      <c r="U5" s="11">
        <v>3</v>
      </c>
      <c r="V5" s="29">
        <f t="shared" si="1"/>
        <v>1500000</v>
      </c>
      <c r="W5" s="11" t="s">
        <v>816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-37600000</v>
      </c>
      <c r="O6" s="29">
        <v>-25000000</v>
      </c>
      <c r="P6" s="11" t="s">
        <v>957</v>
      </c>
      <c r="S6" s="29" t="s">
        <v>815</v>
      </c>
      <c r="T6" s="29">
        <v>-2500000</v>
      </c>
      <c r="U6" s="11">
        <v>1</v>
      </c>
      <c r="V6" s="29">
        <f t="shared" si="1"/>
        <v>-2500000</v>
      </c>
      <c r="W6" s="11" t="s">
        <v>820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721</v>
      </c>
      <c r="M7" s="11" t="s">
        <v>717</v>
      </c>
      <c r="N7" s="29">
        <v>57000000</v>
      </c>
      <c r="O7" s="29"/>
      <c r="P7" s="11"/>
      <c r="S7" s="29" t="s">
        <v>821</v>
      </c>
      <c r="T7" s="29">
        <v>-5800000</v>
      </c>
      <c r="U7" s="11">
        <v>2</v>
      </c>
      <c r="V7" s="29">
        <f t="shared" si="1"/>
        <v>-11600000</v>
      </c>
      <c r="W7" s="11" t="s">
        <v>822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955</v>
      </c>
      <c r="N8" s="29">
        <v>10000000</v>
      </c>
      <c r="O8" s="29"/>
      <c r="P8" s="11"/>
      <c r="S8" s="29" t="s">
        <v>825</v>
      </c>
      <c r="T8" s="29">
        <v>-7500000</v>
      </c>
      <c r="U8" s="11">
        <v>4</v>
      </c>
      <c r="V8" s="29">
        <f t="shared" si="1"/>
        <v>-30000000</v>
      </c>
      <c r="W8" s="11" t="s">
        <v>826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736</v>
      </c>
      <c r="M9" s="11" t="s">
        <v>25</v>
      </c>
      <c r="N9" s="29"/>
      <c r="O9" s="29"/>
      <c r="P9" s="11"/>
      <c r="S9" s="29" t="s">
        <v>833</v>
      </c>
      <c r="T9" s="29">
        <v>-8500000</v>
      </c>
      <c r="U9" s="11">
        <v>7</v>
      </c>
      <c r="V9" s="29">
        <f>T9*U9</f>
        <v>-59500000</v>
      </c>
      <c r="W9" s="11" t="s">
        <v>835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786</v>
      </c>
      <c r="M10" s="11" t="s">
        <v>719</v>
      </c>
      <c r="N10" s="29">
        <f>SUM(N2:N6)</f>
        <v>126400000</v>
      </c>
      <c r="O10" s="29"/>
      <c r="P10" s="11"/>
      <c r="S10" s="29" t="s">
        <v>846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848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832</v>
      </c>
      <c r="M11" s="11" t="s">
        <v>720</v>
      </c>
      <c r="N11" s="29">
        <f>SUM(N2:N9)</f>
        <v>193400000</v>
      </c>
      <c r="O11" s="29">
        <f>SUM(O2:O9)</f>
        <v>210000000</v>
      </c>
      <c r="P11" s="11"/>
      <c r="S11" s="29" t="s">
        <v>869</v>
      </c>
      <c r="T11" s="29">
        <v>-7500000</v>
      </c>
      <c r="U11" s="11">
        <v>30</v>
      </c>
      <c r="V11" s="29">
        <f t="shared" si="5"/>
        <v>-225000000</v>
      </c>
      <c r="W11" s="75" t="s">
        <v>870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877</v>
      </c>
      <c r="S12" s="29" t="s">
        <v>907</v>
      </c>
      <c r="T12" s="29">
        <v>-4500000</v>
      </c>
      <c r="U12" s="11">
        <v>21</v>
      </c>
      <c r="V12" s="29">
        <f t="shared" si="5"/>
        <v>-94500000</v>
      </c>
      <c r="W12" s="11" t="s">
        <v>948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915</v>
      </c>
      <c r="O13" t="s">
        <v>25</v>
      </c>
      <c r="S13" s="29" t="s">
        <v>940</v>
      </c>
      <c r="T13" s="29">
        <v>-3500000</v>
      </c>
      <c r="U13" s="11">
        <v>5</v>
      </c>
      <c r="V13" s="29">
        <f t="shared" si="5"/>
        <v>-17500000</v>
      </c>
      <c r="W13" s="11" t="s">
        <v>949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1101</v>
      </c>
      <c r="L14" s="25"/>
      <c r="O14" s="25"/>
      <c r="R14" s="25"/>
      <c r="S14" s="29" t="s">
        <v>959</v>
      </c>
      <c r="T14" s="29">
        <v>-500000</v>
      </c>
      <c r="U14" s="11">
        <v>100</v>
      </c>
      <c r="V14" s="29">
        <f t="shared" si="5"/>
        <v>-50000000</v>
      </c>
      <c r="W14" s="11" t="s">
        <v>1048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L27</f>
        <v>91257358</v>
      </c>
      <c r="G15" s="29">
        <f t="shared" si="0"/>
        <v>3295642</v>
      </c>
      <c r="H15" s="11"/>
      <c r="K15" s="2" t="s">
        <v>451</v>
      </c>
      <c r="L15" s="2" t="s">
        <v>452</v>
      </c>
      <c r="M15" s="11"/>
      <c r="N15" s="11" t="s">
        <v>755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ایلیا'!B202</f>
        <v>91984347</v>
      </c>
      <c r="M16" s="11" t="s">
        <v>756</v>
      </c>
      <c r="N16" s="29">
        <f>'مسکن مریم یاران'!B127</f>
        <v>49727461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11" t="s">
        <v>657</v>
      </c>
      <c r="N17" s="29">
        <f>سارا!D156</f>
        <v>53258739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102478700.81900001</v>
      </c>
      <c r="F18" s="3"/>
      <c r="G18" s="29"/>
      <c r="H18" s="11"/>
      <c r="K18" s="2" t="s">
        <v>683</v>
      </c>
      <c r="L18" s="43">
        <v>1000000</v>
      </c>
      <c r="M18" s="11" t="s">
        <v>757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105241088.58223</v>
      </c>
      <c r="F19" s="3"/>
      <c r="G19" s="29"/>
      <c r="H19" s="11"/>
      <c r="K19" s="2" t="s">
        <v>85</v>
      </c>
      <c r="L19" s="43">
        <v>-7100000</v>
      </c>
      <c r="M19" s="11" t="s">
        <v>764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108065852.23819311</v>
      </c>
      <c r="F20" s="3"/>
      <c r="G20" s="29"/>
      <c r="H20" s="11"/>
      <c r="K20" s="2" t="s">
        <v>456</v>
      </c>
      <c r="L20" s="43">
        <v>473000</v>
      </c>
      <c r="M20" s="11" t="s">
        <v>765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110954310.58611865</v>
      </c>
      <c r="F21" s="3"/>
      <c r="G21" s="29"/>
      <c r="H21" s="11"/>
      <c r="J21" s="25"/>
      <c r="K21" s="2" t="s">
        <v>735</v>
      </c>
      <c r="L21" s="43">
        <v>0</v>
      </c>
      <c r="M21" s="11" t="s">
        <v>766</v>
      </c>
      <c r="N21" s="29">
        <f>-1*L19</f>
        <v>7100000</v>
      </c>
      <c r="S21" s="29"/>
      <c r="T21" s="11"/>
      <c r="U21" s="11"/>
      <c r="V21" s="11"/>
      <c r="W21" s="11" t="s">
        <v>723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113907809.51403433</v>
      </c>
      <c r="F22" s="3"/>
      <c r="G22" s="29"/>
      <c r="H22" s="11"/>
      <c r="J22" s="25"/>
      <c r="K22" s="2" t="s">
        <v>939</v>
      </c>
      <c r="L22" s="43">
        <v>4800000</v>
      </c>
      <c r="M22" s="11" t="s">
        <v>758</v>
      </c>
      <c r="N22" s="29">
        <v>980000</v>
      </c>
      <c r="P22" t="s">
        <v>25</v>
      </c>
      <c r="S22" s="11"/>
      <c r="T22" s="11"/>
      <c r="U22" s="11"/>
      <c r="V22" s="11"/>
      <c r="W22" s="11" t="s">
        <v>759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116927722.54767025</v>
      </c>
      <c r="F23" s="3"/>
      <c r="G23" s="29"/>
      <c r="H23" s="11"/>
      <c r="I23" s="7"/>
      <c r="J23" s="28"/>
      <c r="K23" s="2" t="s">
        <v>952</v>
      </c>
      <c r="L23" s="43">
        <v>0</v>
      </c>
      <c r="M23" s="11" t="s">
        <v>770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120015451.41041245</v>
      </c>
      <c r="F24" s="3"/>
      <c r="G24" s="11"/>
      <c r="H24" s="11"/>
      <c r="J24" s="55"/>
      <c r="K24" s="11" t="s">
        <v>1045</v>
      </c>
      <c r="L24" s="43">
        <v>0</v>
      </c>
      <c r="M24" s="11" t="s">
        <v>906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123172426.59452738</v>
      </c>
      <c r="F25" s="3"/>
      <c r="G25" s="11"/>
      <c r="H25" s="11"/>
      <c r="J25" s="25"/>
      <c r="K25" s="11"/>
      <c r="L25" s="43"/>
      <c r="M25" s="11" t="s">
        <v>1046</v>
      </c>
      <c r="N25" s="29">
        <f>-L24</f>
        <v>0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126400107.94388369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129699985.24840176</v>
      </c>
      <c r="F27" s="3"/>
      <c r="G27" s="11"/>
      <c r="H27" s="11"/>
      <c r="J27" s="25"/>
      <c r="K27" s="2" t="s">
        <v>598</v>
      </c>
      <c r="L27" s="3">
        <f>SUM(L16:L24)</f>
        <v>91257358</v>
      </c>
      <c r="M27" s="11"/>
      <c r="N27" s="29">
        <f>SUM(N16:N25)</f>
        <v>154266200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133073578.85046658</v>
      </c>
      <c r="F28" s="3"/>
      <c r="G28" s="11"/>
      <c r="H28" s="11"/>
      <c r="K28" s="2" t="s">
        <v>599</v>
      </c>
      <c r="L28" s="3">
        <f>L16+L17+L20</f>
        <v>92557358</v>
      </c>
      <c r="M28" s="11"/>
      <c r="N28" s="29">
        <f>N16+N17+N22</f>
        <v>103966200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136522440.26354367</v>
      </c>
      <c r="F29" s="3"/>
      <c r="G29" s="11"/>
      <c r="H29" s="11"/>
      <c r="K29" s="56" t="s">
        <v>718</v>
      </c>
      <c r="L29" s="1">
        <f>L27+N7</f>
        <v>148257358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140048152.80324301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143652332.23108062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147336627.41119272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151102720.98026192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154952330.03092098</v>
      </c>
      <c r="F34" s="3"/>
      <c r="G34" s="11"/>
      <c r="H34" s="11"/>
      <c r="K34" s="3"/>
      <c r="L34" s="11" t="s">
        <v>304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" t="s">
        <v>305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" t="s">
        <v>321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1" t="s">
        <v>306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31" t="s">
        <v>307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31" t="s">
        <v>308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K40" s="31" t="s">
        <v>309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K41" s="31" t="s">
        <v>310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K42" s="18" t="s">
        <v>311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K43" s="32" t="s">
        <v>312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2" t="s">
        <v>313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32" t="s">
        <v>315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32" t="s">
        <v>316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32" t="s">
        <v>317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2" t="s">
        <v>327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2" t="s">
        <v>318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2" t="s">
        <v>319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2" t="s">
        <v>320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32" t="s">
        <v>322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324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314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2" t="s">
        <v>478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2" t="s">
        <v>328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799</v>
      </c>
      <c r="L65" s="48" t="s">
        <v>476</v>
      </c>
    </row>
    <row r="66" spans="1:12" x14ac:dyDescent="0.25">
      <c r="K66" s="48">
        <v>1200000</v>
      </c>
      <c r="L66" s="48" t="s">
        <v>1076</v>
      </c>
    </row>
    <row r="67" spans="1:12" x14ac:dyDescent="0.25">
      <c r="A67" t="s">
        <v>25</v>
      </c>
      <c r="K67" s="47">
        <v>500000</v>
      </c>
      <c r="L67" s="48" t="s">
        <v>479</v>
      </c>
    </row>
    <row r="68" spans="1:12" x14ac:dyDescent="0.25">
      <c r="K68" s="47">
        <v>130000</v>
      </c>
      <c r="L68" s="48" t="s">
        <v>558</v>
      </c>
    </row>
    <row r="69" spans="1:12" x14ac:dyDescent="0.25">
      <c r="K69" s="47">
        <v>300000</v>
      </c>
      <c r="L69" s="48" t="s">
        <v>795</v>
      </c>
    </row>
    <row r="70" spans="1:12" x14ac:dyDescent="0.25">
      <c r="K70" s="47">
        <v>500000</v>
      </c>
      <c r="L70" s="48" t="s">
        <v>796</v>
      </c>
    </row>
    <row r="71" spans="1:12" x14ac:dyDescent="0.25">
      <c r="K71" s="47">
        <v>500000</v>
      </c>
      <c r="L71" s="48" t="s">
        <v>797</v>
      </c>
    </row>
    <row r="72" spans="1:12" x14ac:dyDescent="0.25">
      <c r="K72" s="47">
        <v>75000</v>
      </c>
      <c r="L72" s="48" t="s">
        <v>798</v>
      </c>
    </row>
    <row r="73" spans="1:12" x14ac:dyDescent="0.25">
      <c r="K73" s="47">
        <v>450000</v>
      </c>
      <c r="L73" s="48" t="s">
        <v>800</v>
      </c>
    </row>
    <row r="74" spans="1:12" x14ac:dyDescent="0.25">
      <c r="K74" s="47">
        <v>500000</v>
      </c>
      <c r="L74" s="48" t="s">
        <v>564</v>
      </c>
    </row>
    <row r="75" spans="1:12" x14ac:dyDescent="0.25">
      <c r="K75" s="47">
        <v>50000</v>
      </c>
      <c r="L75" s="48" t="s">
        <v>803</v>
      </c>
    </row>
    <row r="76" spans="1:12" x14ac:dyDescent="0.25">
      <c r="K76" s="47">
        <v>140000</v>
      </c>
      <c r="L76" s="48" t="s">
        <v>314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402</v>
      </c>
      <c r="F2">
        <v>1</v>
      </c>
      <c r="G2">
        <f>B2*(E2-F2)</f>
        <v>20050000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396</v>
      </c>
      <c r="F3">
        <v>1</v>
      </c>
      <c r="G3">
        <f t="shared" ref="G3:G21" si="1">B3*(E3-F3)</f>
        <v>5925000000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394</v>
      </c>
      <c r="F4">
        <v>0</v>
      </c>
      <c r="G4">
        <f t="shared" si="1"/>
        <v>-1182000000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393</v>
      </c>
      <c r="F5">
        <v>0</v>
      </c>
      <c r="G5">
        <f t="shared" si="1"/>
        <v>-1257953700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391</v>
      </c>
      <c r="F6">
        <v>0</v>
      </c>
      <c r="G6">
        <f t="shared" si="1"/>
        <v>-1173351900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389</v>
      </c>
      <c r="F7">
        <v>0</v>
      </c>
      <c r="G7">
        <f t="shared" si="1"/>
        <v>-2258495100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367</v>
      </c>
      <c r="F8">
        <v>0</v>
      </c>
      <c r="G8">
        <f t="shared" si="1"/>
        <v>19971039</v>
      </c>
    </row>
    <row r="9" spans="1:7" x14ac:dyDescent="0.25">
      <c r="A9" t="s">
        <v>815</v>
      </c>
      <c r="B9" s="3">
        <v>-80000</v>
      </c>
      <c r="C9" t="s">
        <v>827</v>
      </c>
      <c r="D9">
        <v>65</v>
      </c>
      <c r="E9">
        <f t="shared" si="0"/>
        <v>95</v>
      </c>
      <c r="F9">
        <v>1</v>
      </c>
      <c r="G9">
        <f>B9*(E9-F9)</f>
        <v>-7520000</v>
      </c>
    </row>
    <row r="10" spans="1:7" x14ac:dyDescent="0.25">
      <c r="A10" t="s">
        <v>910</v>
      </c>
      <c r="B10" s="3">
        <v>850000</v>
      </c>
      <c r="C10" t="s">
        <v>916</v>
      </c>
      <c r="D10">
        <v>14</v>
      </c>
      <c r="E10">
        <f t="shared" si="0"/>
        <v>30</v>
      </c>
      <c r="F10">
        <v>1</v>
      </c>
      <c r="G10">
        <f t="shared" si="1"/>
        <v>24650000</v>
      </c>
    </row>
    <row r="11" spans="1:7" x14ac:dyDescent="0.25">
      <c r="A11" t="s">
        <v>932</v>
      </c>
      <c r="B11" s="3">
        <v>-700000</v>
      </c>
      <c r="C11" t="s">
        <v>942</v>
      </c>
      <c r="D11">
        <v>6</v>
      </c>
      <c r="E11">
        <f t="shared" si="0"/>
        <v>16</v>
      </c>
      <c r="F11">
        <v>1</v>
      </c>
      <c r="G11">
        <f t="shared" si="1"/>
        <v>-10500000</v>
      </c>
    </row>
    <row r="12" spans="1:7" x14ac:dyDescent="0.25">
      <c r="A12" t="s">
        <v>940</v>
      </c>
      <c r="B12" s="3">
        <v>1000000</v>
      </c>
      <c r="C12" t="s">
        <v>943</v>
      </c>
      <c r="D12">
        <v>8</v>
      </c>
      <c r="E12">
        <f t="shared" si="0"/>
        <v>10</v>
      </c>
      <c r="F12">
        <v>1</v>
      </c>
      <c r="G12">
        <f t="shared" si="1"/>
        <v>9000000</v>
      </c>
    </row>
    <row r="13" spans="1:7" x14ac:dyDescent="0.25">
      <c r="A13" t="s">
        <v>1071</v>
      </c>
      <c r="B13" s="3">
        <v>4857</v>
      </c>
      <c r="C13" t="s">
        <v>475</v>
      </c>
      <c r="D13">
        <v>1</v>
      </c>
      <c r="E13">
        <f t="shared" si="0"/>
        <v>2</v>
      </c>
      <c r="F13">
        <v>1</v>
      </c>
      <c r="G13">
        <f t="shared" si="1"/>
        <v>4857</v>
      </c>
    </row>
    <row r="14" spans="1:7" x14ac:dyDescent="0.25">
      <c r="A14" t="s">
        <v>1077</v>
      </c>
      <c r="B14" s="3">
        <v>-191000</v>
      </c>
      <c r="C14" t="s">
        <v>942</v>
      </c>
      <c r="D14">
        <v>1</v>
      </c>
      <c r="E14">
        <f t="shared" si="0"/>
        <v>1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980574</v>
      </c>
      <c r="G27" s="7">
        <f>SUM(G2:G21)</f>
        <v>108855196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270784.0696517413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6500</v>
      </c>
      <c r="H31" s="11" t="s">
        <v>711</v>
      </c>
      <c r="I31" s="11">
        <v>224500</v>
      </c>
      <c r="J31" s="11" t="s">
        <v>477</v>
      </c>
    </row>
    <row r="32" spans="2:21" x14ac:dyDescent="0.25">
      <c r="G32" s="11">
        <f t="shared" si="6"/>
        <v>46000</v>
      </c>
      <c r="H32" s="59" t="s">
        <v>805</v>
      </c>
      <c r="I32" s="11">
        <v>185000</v>
      </c>
      <c r="J32" s="11" t="s">
        <v>558</v>
      </c>
    </row>
    <row r="33" spans="6:23" x14ac:dyDescent="0.25">
      <c r="G33" s="11">
        <f t="shared" si="6"/>
        <v>6500</v>
      </c>
      <c r="H33" s="11" t="s">
        <v>711</v>
      </c>
      <c r="I33" s="11">
        <v>224500</v>
      </c>
      <c r="J33" s="11" t="s">
        <v>566</v>
      </c>
    </row>
    <row r="34" spans="6:23" x14ac:dyDescent="0.25">
      <c r="G34" s="11">
        <f t="shared" si="6"/>
        <v>6500</v>
      </c>
      <c r="H34" s="11" t="s">
        <v>711</v>
      </c>
      <c r="I34" s="11">
        <v>224500</v>
      </c>
      <c r="J34" s="11" t="s">
        <v>567</v>
      </c>
    </row>
    <row r="35" spans="6:23" x14ac:dyDescent="0.25">
      <c r="G35" s="11">
        <f t="shared" si="6"/>
        <v>6500</v>
      </c>
      <c r="H35" s="11" t="s">
        <v>711</v>
      </c>
      <c r="I35" s="11">
        <v>224500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748</v>
      </c>
      <c r="I39" s="11">
        <v>190000</v>
      </c>
      <c r="J39" s="11" t="s">
        <v>747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746</v>
      </c>
      <c r="I40" s="11">
        <v>225000</v>
      </c>
      <c r="J40" s="11" t="s">
        <v>745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793</v>
      </c>
      <c r="I41" s="11">
        <v>216000</v>
      </c>
      <c r="J41" s="11" t="s">
        <v>792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793</v>
      </c>
      <c r="I42" s="11">
        <v>216000</v>
      </c>
      <c r="J42" s="11" t="s">
        <v>794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828</v>
      </c>
      <c r="I43" s="11">
        <v>227000</v>
      </c>
      <c r="J43" s="11" t="s">
        <v>829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2018-04-03T11:25:05Z</dcterms:modified>
</cp:coreProperties>
</file>