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19" i="18" l="1"/>
  <c r="AC15" i="33"/>
  <c r="AA32" i="18" l="1"/>
  <c r="Y31" i="18"/>
  <c r="Z31" i="18" l="1"/>
  <c r="AA31" i="18" s="1"/>
  <c r="AA33" i="18" s="1"/>
  <c r="AA34" i="18" s="1"/>
  <c r="X31" i="18"/>
  <c r="C2" i="46" l="1"/>
  <c r="B2" i="46"/>
  <c r="B24" i="46" s="1"/>
  <c r="D59" i="46"/>
  <c r="L19" i="18" s="1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H2" i="46"/>
  <c r="H25" i="46" l="1"/>
  <c r="D2" i="46"/>
  <c r="G2" i="46"/>
  <c r="G25" i="46" s="1"/>
  <c r="H30" i="46" s="1"/>
  <c r="C24" i="46"/>
  <c r="N2" i="33"/>
  <c r="N29" i="18"/>
  <c r="S33" i="18"/>
  <c r="I2" i="46" l="1"/>
  <c r="I25" i="46" s="1"/>
  <c r="I30" i="46" s="1"/>
  <c r="D24" i="46"/>
  <c r="D74" i="45"/>
  <c r="G43" i="14" l="1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E45" i="14" l="1"/>
  <c r="S29" i="18"/>
  <c r="E44" i="14" l="1"/>
  <c r="N34" i="18"/>
  <c r="E43" i="14" l="1"/>
  <c r="Q79" i="18"/>
  <c r="P77" i="18"/>
  <c r="P81" i="18"/>
  <c r="S72" i="18"/>
  <c r="R69" i="18"/>
  <c r="E42" i="14" l="1"/>
  <c r="G42" i="14" s="1"/>
  <c r="S30" i="18"/>
  <c r="S31" i="18" s="1"/>
  <c r="S32" i="18" s="1"/>
  <c r="E41" i="14" l="1"/>
  <c r="G41" i="14" s="1"/>
  <c r="U28" i="18"/>
  <c r="E40" i="14" l="1"/>
  <c r="G40" i="14" s="1"/>
  <c r="N28" i="18"/>
  <c r="Q35" i="18" s="1"/>
  <c r="E39" i="14" l="1"/>
  <c r="G39" i="14" s="1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83" i="20" l="1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E37" i="14" l="1"/>
  <c r="G37" i="14" s="1"/>
  <c r="B196" i="13"/>
  <c r="E36" i="14" l="1"/>
  <c r="G36" i="14" s="1"/>
  <c r="F105" i="13"/>
  <c r="B105" i="13"/>
  <c r="E35" i="14" l="1"/>
  <c r="G35" i="14" s="1"/>
  <c r="C2" i="45"/>
  <c r="C24" i="45" s="1"/>
  <c r="Q48" i="18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E34" i="14" l="1"/>
  <c r="G34" i="14" s="1"/>
  <c r="H2" i="45"/>
  <c r="H25" i="45" s="1"/>
  <c r="G25" i="45"/>
  <c r="B24" i="45"/>
  <c r="D2" i="45"/>
  <c r="D24" i="45" s="1"/>
  <c r="S12" i="44"/>
  <c r="R12" i="44"/>
  <c r="Q12" i="44"/>
  <c r="H30" i="45" l="1"/>
  <c r="E33" i="14"/>
  <c r="I2" i="45"/>
  <c r="I25" i="45" s="1"/>
  <c r="I30" i="45" s="1"/>
  <c r="H3" i="44"/>
  <c r="E32" i="14" l="1"/>
  <c r="G32" i="14" s="1"/>
  <c r="G33" i="14"/>
  <c r="H4" i="44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E30" i="14" l="1"/>
  <c r="G31" i="14"/>
  <c r="E248" i="15"/>
  <c r="E29" i="14" l="1"/>
  <c r="G30" i="14"/>
  <c r="E247" i="15"/>
  <c r="E246" i="15"/>
  <c r="E28" i="14" l="1"/>
  <c r="G29" i="14"/>
  <c r="E245" i="15"/>
  <c r="E27" i="14" l="1"/>
  <c r="G28" i="14"/>
  <c r="N13" i="33"/>
  <c r="E244" i="15"/>
  <c r="H13" i="33" l="1"/>
  <c r="B13" i="33"/>
  <c r="G13" i="33"/>
  <c r="K13" i="33"/>
  <c r="L13" i="33"/>
  <c r="E26" i="14"/>
  <c r="G27" i="14"/>
  <c r="C13" i="33"/>
  <c r="E13" i="33"/>
  <c r="I13" i="33"/>
  <c r="D13" i="33"/>
  <c r="J13" i="33"/>
  <c r="F13" i="33"/>
  <c r="E25" i="14" l="1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E24" i="14" l="1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E23" i="14" l="1"/>
  <c r="G24" i="14"/>
  <c r="H25" i="43"/>
  <c r="G2" i="43"/>
  <c r="G25" i="43" s="1"/>
  <c r="G30" i="43" s="1"/>
  <c r="H30" i="43" s="1"/>
  <c r="E22" i="14" l="1"/>
  <c r="G23" i="14"/>
  <c r="I2" i="43"/>
  <c r="I25" i="43" s="1"/>
  <c r="I30" i="43" s="1"/>
  <c r="D24" i="43"/>
  <c r="E21" i="14" l="1"/>
  <c r="E20" i="14" s="1"/>
  <c r="E19" i="14" s="1"/>
  <c r="E18" i="14" s="1"/>
  <c r="G22" i="14"/>
  <c r="E243" i="15"/>
  <c r="E242" i="15" l="1"/>
  <c r="J46" i="33" l="1"/>
  <c r="J44" i="33"/>
  <c r="J43" i="33"/>
  <c r="L46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U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20" i="18" s="1"/>
  <c r="G20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48" i="14" l="1"/>
  <c r="G51" i="14" s="1"/>
  <c r="E37" i="18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<sst xmlns="http://schemas.openxmlformats.org/spreadsheetml/2006/main" count="8680" uniqueCount="4138">
  <si>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</si>
  <si>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</si>
  <si>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</si>
  <si>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</si>
  <si>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</si>
  <si>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</si>
  <si>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</si>
  <si>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</si>
  <si>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</si>
  <si>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</si>
  <si>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</si>
  <si>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</si>
  <si>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</si>
  <si>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</si>
  <si>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</si>
  <si>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</si>
  <si>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</si>
  <si>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</si>
  <si>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</si>
  <si>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</si>
  <si>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</si>
  <si>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</si>
  <si>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</si>
  <si>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</si>
  <si>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</si>
  <si>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</si>
  <si>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</si>
  <si>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</si>
  <si>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</si>
  <si>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</si>
  <si>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</si>
  <si>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</si>
  <si>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</si>
  <si>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</si>
  <si>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</si>
  <si>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</si>
  <si>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</si>
  <si>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</si>
  <si>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</si>
  <si>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</si>
  <si>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</si>
  <si>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</si>
  <si>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</si>
  <si>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</si>
  <si>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</si>
  <si>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</si>
  <si>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</si>
  <si>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</si>
  <si>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</si>
  <si>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</si>
  <si>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</si>
  <si>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</si>
  <si>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</si>
  <si>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</si>
  <si>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</si>
  <si>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</si>
  <si>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</si>
  <si>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</si>
  <si>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</si>
  <si>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</si>
  <si>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</si>
  <si>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</si>
  <si>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</si>
  <si>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</si>
  <si>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</si>
  <si>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</si>
  <si>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</si>
  <si>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</si>
  <si>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</si>
  <si>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</si>
  <si>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</si>
  <si>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</si>
  <si>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</si>
  <si>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</si>
  <si>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</si>
  <si>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</si>
  <si>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</si>
  <si>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</si>
  <si>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</si>
  <si>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</si>
  <si>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</si>
  <si>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</si>
  <si>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</si>
  <si>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</si>
  <si>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</si>
  <si>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</si>
  <si>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</si>
  <si>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</si>
  <si>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</si>
  <si>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</si>
  <si>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</si>
  <si>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</si>
  <si>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</si>
  <si>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</si>
  <si>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</si>
  <si>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</si>
  <si>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</si>
  <si>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</si>
  <si>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</si>
  <si>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</si>
  <si>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</si>
  <si>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</si>
  <si>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</si>
  <si>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</si>
  <si>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</si>
  <si>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</si>
  <si>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</si>
  <si>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</si>
  <si>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</si>
  <si>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</si>
  <si>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</si>
  <si>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</si>
  <si>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</si>
  <si>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</si>
  <si>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</si>
  <si>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</si>
  <si>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</si>
  <si>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</si>
  <si>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</si>
  <si>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</si>
  <si>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</si>
  <si>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</si>
  <si>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</si>
  <si>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</si>
  <si>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</si>
  <si>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</si>
  <si>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</si>
  <si>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</si>
  <si>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</si>
  <si>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</si>
  <si>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</si>
  <si>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</si>
  <si>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</si>
  <si>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</si>
  <si>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</si>
  <si>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</si>
  <si>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</si>
  <si>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</si>
  <si>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</si>
  <si>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</si>
  <si>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</si>
  <si>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</si>
  <si>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</si>
  <si>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</si>
  <si>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</si>
  <si>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</si>
  <si>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</si>
  <si>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</si>
  <si>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</si>
  <si>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</si>
  <si>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</si>
  <si>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</si>
  <si>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</si>
  <si>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</si>
  <si>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</si>
  <si>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</si>
  <si>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</si>
  <si>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</si>
  <si>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</si>
  <si>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</si>
  <si>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</si>
  <si>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</si>
  <si>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</si>
  <si>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</si>
  <si>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</si>
  <si>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</si>
  <si>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</si>
  <si>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</si>
  <si>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</si>
  <si>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</si>
  <si>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</si>
  <si>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</si>
  <si>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</si>
  <si>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</si>
  <si>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</si>
  <si>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</si>
  <si>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</si>
  <si>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</si>
  <si>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</si>
  <si>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</si>
  <si>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</si>
  <si>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</si>
  <si>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</si>
  <si>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</si>
  <si>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</si>
  <si>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</si>
  <si>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</si>
  <si>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</si>
  <si>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</si>
  <si>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</si>
  <si>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</si>
  <si>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</si>
  <si>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</si>
  <si>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</si>
  <si>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</si>
  <si>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</si>
  <si>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</si>
  <si>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</si>
  <si>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</si>
  <si>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</si>
  <si>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</si>
  <si>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</si>
  <si>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</si>
  <si>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</si>
  <si>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</si>
  <si>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</si>
  <si>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</si>
  <si>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</si>
  <si>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</si>
  <si>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</si>
  <si>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</si>
  <si>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</si>
  <si>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</si>
  <si>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</si>
  <si>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</si>
  <si>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</si>
  <si>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</si>
  <si>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</si>
  <si>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</si>
  <si>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</si>
  <si>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</si>
  <si>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</si>
  <si>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</si>
  <si>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</si>
  <si>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</si>
  <si>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</si>
  <si>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</si>
  <si>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</si>
  <si>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</si>
  <si>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</si>
  <si>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</si>
  <si>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</si>
  <si>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</si>
  <si>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</si>
  <si>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</si>
  <si>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</si>
  <si>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</si>
  <si>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</si>
  <si>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</si>
  <si>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</si>
  <si>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</si>
  <si>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</si>
  <si>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</si>
  <si>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</si>
  <si>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</si>
  <si>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</si>
  <si>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</si>
  <si>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</si>
  <si>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</si>
  <si>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</si>
  <si>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</si>
  <si>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</si>
  <si>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</si>
  <si>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</si>
  <si>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</si>
  <si>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</si>
  <si>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</si>
  <si>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</si>
  <si>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</si>
  <si>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</si>
  <si>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</si>
  <si>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</si>
  <si>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</si>
  <si>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</si>
  <si>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</si>
  <si>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</si>
  <si>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</si>
  <si>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</si>
  <si>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</si>
  <si>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</si>
  <si>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</si>
  <si>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</si>
  <si>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</si>
  <si>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</si>
  <si>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</si>
  <si>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</si>
  <si>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</si>
  <si>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</si>
  <si>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</si>
  <si>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</si>
  <si>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</si>
  <si>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</si>
  <si>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</si>
  <si>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</si>
  <si>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</si>
  <si>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</si>
  <si>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</si>
  <si>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</si>
  <si>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</si>
  <si>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</si>
  <si>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</si>
  <si>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</si>
  <si>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</si>
  <si>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</si>
  <si>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</si>
  <si>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</si>
  <si>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</si>
  <si>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</si>
  <si>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</si>
  <si>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</si>
  <si>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</si>
  <si>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</si>
  <si>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</si>
  <si>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</si>
  <si>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</si>
  <si>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</si>
  <si>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</si>
  <si>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</si>
  <si>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</si>
  <si>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</si>
  <si>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</si>
  <si>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</si>
  <si>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</si>
  <si>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</si>
  <si>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</si>
  <si>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</si>
  <si>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</si>
  <si>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</si>
  <si>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</si>
  <si>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</si>
  <si>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</si>
  <si>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</si>
  <si>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</si>
  <si>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</si>
  <si>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</si>
  <si>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</si>
  <si>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</si>
  <si>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</si>
  <si>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</si>
  <si>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</si>
  <si>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</si>
  <si>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</si>
  <si>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</si>
  <si>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</si>
  <si>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</si>
  <si>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</si>
  <si>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</si>
  <si>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</si>
  <si>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</si>
  <si>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</si>
  <si>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</si>
  <si>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</si>
  <si>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</si>
  <si>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</si>
  <si>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</si>
  <si>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</si>
  <si>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</si>
  <si>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</si>
  <si>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</si>
  <si>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</si>
  <si>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</si>
  <si>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</si>
  <si>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</si>
  <si>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</si>
  <si>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</si>
  <si>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</si>
  <si>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</si>
  <si>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</si>
  <si>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</si>
  <si>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</si>
  <si>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</si>
  <si>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</si>
  <si>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</si>
  <si>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</si>
  <si>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</si>
  <si>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</si>
  <si>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</si>
  <si>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</si>
  <si>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</si>
  <si>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</si>
  <si>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</si>
  <si>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</si>
  <si>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</si>
  <si>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</si>
  <si>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</si>
  <si>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</si>
  <si>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</si>
  <si>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</si>
  <si>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</si>
  <si>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</si>
  <si>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</si>
  <si>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</si>
  <si>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</si>
  <si>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</si>
  <si>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</si>
  <si>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</si>
  <si>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</si>
  <si>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</si>
  <si>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</si>
  <si>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</si>
  <si>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</si>
  <si>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</si>
  <si>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</si>
  <si>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</si>
  <si>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</si>
  <si>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</si>
  <si>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</si>
  <si>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</si>
  <si>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</si>
  <si>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</si>
  <si>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</si>
  <si>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</si>
  <si>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</si>
  <si>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</si>
  <si>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</si>
  <si>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</si>
  <si>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</si>
  <si>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</si>
  <si>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</si>
  <si>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</si>
  <si>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</si>
  <si>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</si>
  <si>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</si>
  <si>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</si>
  <si>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</si>
  <si>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</si>
  <si>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</si>
  <si>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</si>
  <si>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</si>
  <si>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</si>
  <si>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</si>
  <si>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</si>
  <si>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</si>
  <si>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</si>
  <si>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</si>
  <si>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</si>
  <si>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</si>
  <si>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</si>
  <si>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</si>
  <si>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</si>
  <si>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</si>
  <si>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</si>
  <si>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</si>
  <si>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</si>
  <si>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</si>
  <si>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</si>
  <si>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</si>
  <si>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</si>
  <si>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</si>
  <si>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</si>
  <si>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</si>
  <si>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</si>
  <si>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</si>
  <si>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</si>
  <si>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</si>
  <si>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</si>
  <si>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</si>
  <si>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</si>
  <si>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</si>
  <si>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</si>
  <si>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</si>
  <si>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</si>
  <si>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</si>
  <si>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</si>
  <si>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</si>
  <si>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</si>
  <si>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</si>
  <si>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</si>
  <si>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</si>
  <si>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</si>
  <si>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</si>
  <si>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</si>
  <si>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</si>
  <si>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</si>
  <si>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</si>
  <si>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</si>
  <si>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</si>
  <si>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</si>
  <si>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</si>
  <si>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</si>
  <si>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</si>
  <si>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</si>
  <si>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</si>
  <si>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</si>
  <si>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</si>
  <si>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</si>
  <si>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</si>
  <si>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</si>
  <si>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</si>
  <si>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</si>
  <si>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</si>
  <si>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</si>
  <si>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</si>
  <si>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</si>
  <si>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</si>
  <si>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</si>
  <si>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</si>
  <si>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</si>
  <si>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</si>
  <si>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</si>
  <si>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</si>
  <si>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</si>
  <si>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</si>
  <si>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</si>
  <si>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</si>
  <si>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</si>
  <si>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</si>
  <si>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</si>
  <si>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</si>
  <si>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</si>
  <si>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</si>
  <si>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</si>
  <si>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</si>
  <si>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</si>
  <si>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</si>
  <si>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</si>
  <si>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</si>
  <si>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</si>
  <si>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</si>
  <si>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</si>
  <si>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</si>
  <si>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</si>
  <si>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</si>
  <si>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</si>
  <si>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</si>
  <si>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</si>
  <si>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</si>
  <si>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</si>
  <si>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</si>
  <si>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</si>
  <si>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</si>
  <si>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</si>
  <si>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</si>
  <si>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</si>
  <si>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</si>
  <si>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</si>
  <si>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</si>
  <si>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</si>
  <si>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</si>
  <si>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</si>
  <si>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</si>
  <si>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</si>
  <si>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</si>
  <si>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</si>
  <si>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</si>
  <si>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</si>
  <si>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</si>
  <si>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</si>
  <si>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</si>
  <si>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</si>
  <si>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</si>
  <si>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</si>
  <si>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</si>
  <si>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</si>
  <si>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</si>
  <si>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</si>
  <si>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</si>
  <si>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</si>
  <si>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</si>
  <si>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</si>
  <si>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</si>
  <si>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</si>
  <si>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</si>
  <si>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</si>
  <si>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</si>
  <si>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</si>
  <si>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</si>
  <si>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</si>
  <si>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</si>
  <si>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</si>
  <si>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</si>
  <si>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</si>
  <si>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</si>
  <si>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</si>
  <si>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</si>
  <si>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</si>
  <si>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</si>
  <si>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</si>
  <si>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</si>
  <si>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</si>
  <si>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</si>
  <si>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</si>
  <si>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</si>
  <si>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</si>
  <si>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</si>
  <si>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</si>
  <si>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</si>
  <si>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</si>
  <si>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</si>
  <si>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</si>
  <si>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</si>
  <si>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</si>
  <si>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</si>
  <si>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</si>
  <si>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</si>
  <si>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</si>
  <si>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</si>
  <si>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</si>
  <si>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</si>
  <si>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</si>
  <si>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</si>
  <si>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</si>
  <si>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</si>
  <si>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</si>
  <si>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</si>
  <si>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</si>
  <si>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</si>
  <si>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</si>
  <si>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</si>
  <si>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</si>
  <si>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</si>
  <si>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</si>
  <si>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</si>
  <si>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</si>
  <si>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</si>
  <si>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</si>
  <si>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</si>
  <si>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</si>
  <si>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</si>
  <si>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</si>
  <si>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</si>
  <si>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</si>
  <si>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</si>
  <si>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</si>
  <si>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</si>
  <si>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</si>
  <si>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</si>
  <si>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</si>
  <si>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</si>
  <si>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</si>
  <si>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</si>
  <si>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</si>
  <si>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</si>
  <si>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</si>
  <si>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</si>
  <si>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</si>
  <si>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</si>
  <si>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</si>
  <si>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</si>
  <si>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</si>
  <si>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</si>
  <si>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</si>
  <si>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</si>
  <si>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</si>
  <si>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</si>
  <si>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</si>
  <si>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</si>
  <si>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</si>
  <si>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</si>
  <si>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</si>
  <si>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</si>
  <si>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</si>
  <si>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</si>
  <si>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</si>
  <si>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</si>
  <si>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</si>
  <si>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</si>
  <si>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</si>
  <si>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</si>
  <si>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</si>
  <si>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</si>
  <si>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</si>
  <si>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</si>
  <si>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</si>
  <si>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</si>
  <si>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</si>
  <si>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</si>
  <si>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</si>
  <si>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</si>
  <si>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</si>
  <si>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</si>
  <si>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</si>
  <si>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</si>
  <si>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</si>
  <si>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</si>
  <si>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</si>
  <si>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</si>
  <si>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</si>
  <si>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</si>
  <si>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</si>
  <si>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</si>
  <si>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</si>
  <si>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</si>
  <si>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</si>
  <si>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</si>
  <si>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</si>
  <si>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</si>
  <si>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</si>
  <si>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</si>
  <si>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</si>
  <si>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</si>
  <si>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</si>
  <si>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</si>
  <si>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</si>
  <si>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</si>
  <si>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</si>
  <si>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</si>
  <si>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</si>
  <si>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</si>
  <si>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</si>
  <si>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</si>
  <si>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</si>
  <si>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</si>
  <si>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</si>
  <si>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</si>
  <si>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</si>
  <si>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</si>
  <si>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</si>
  <si>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</si>
  <si>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</si>
  <si>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</si>
  <si>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</si>
  <si>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</si>
  <si>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</si>
  <si>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</si>
  <si>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</si>
  <si>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</si>
  <si>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</si>
  <si>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</si>
  <si>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</si>
  <si>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</si>
  <si>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</si>
  <si>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</si>
  <si>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</si>
  <si>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</si>
  <si>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</si>
  <si>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</si>
  <si>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</si>
  <si>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</si>
  <si>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</si>
  <si>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</si>
  <si>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</si>
  <si>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</si>
  <si>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</si>
  <si>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</si>
  <si>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</si>
  <si>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</si>
  <si>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</si>
  <si>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</si>
  <si>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</si>
  <si>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</si>
  <si>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</si>
  <si>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</si>
  <si>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</si>
  <si>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</si>
  <si>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</si>
  <si>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</si>
  <si>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</si>
  <si>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</si>
  <si>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</si>
  <si>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</si>
  <si>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</si>
  <si>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</si>
  <si>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</si>
  <si>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</si>
  <si>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</si>
  <si>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</si>
  <si>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</si>
  <si>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</si>
  <si>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</si>
  <si>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</si>
  <si>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</si>
  <si>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</si>
  <si>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</si>
  <si>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</si>
  <si>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</si>
  <si>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</si>
  <si>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</si>
  <si>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</si>
  <si>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</si>
  <si>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</si>
  <si>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</si>
  <si>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</si>
  <si>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</si>
  <si>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</si>
  <si>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</si>
  <si>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</si>
  <si>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</si>
  <si>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</si>
  <si>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</si>
  <si>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</si>
  <si>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</si>
  <si>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</si>
  <si>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</si>
  <si>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</si>
  <si>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</si>
  <si>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</si>
  <si>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</si>
  <si>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</si>
  <si>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</si>
  <si>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</si>
  <si>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</si>
  <si>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</si>
  <si>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</si>
  <si>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</si>
  <si>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</si>
  <si>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</si>
  <si>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</si>
  <si>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</si>
  <si>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</si>
  <si>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</si>
  <si>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</si>
  <si>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</si>
  <si>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</si>
  <si>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</si>
  <si>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</si>
  <si>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</si>
  <si>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</si>
  <si>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</si>
  <si>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</si>
  <si>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</si>
  <si>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</si>
  <si>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</si>
  <si>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</si>
  <si>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</si>
  <si>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</si>
  <si>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</si>
  <si>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</si>
  <si>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</si>
  <si>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</si>
  <si>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</si>
  <si>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</si>
  <si>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</si>
  <si>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</si>
  <si>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</si>
  <si>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</si>
  <si>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</si>
  <si>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</si>
  <si>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</si>
  <si>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</si>
  <si>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</si>
  <si>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</si>
  <si>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</si>
  <si>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</si>
  <si>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</si>
  <si>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</si>
  <si>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</si>
  <si>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</si>
  <si>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</si>
  <si>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</si>
  <si>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</si>
  <si>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</si>
  <si>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</si>
  <si>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</si>
  <si>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</si>
  <si>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</si>
  <si>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</si>
  <si>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</si>
  <si>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</si>
  <si>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</si>
  <si>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</si>
  <si>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</si>
  <si>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</si>
  <si>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</si>
  <si>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</si>
  <si>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</si>
  <si>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</si>
  <si>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</si>
  <si>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</si>
  <si>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</si>
  <si>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</si>
  <si>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</si>
  <si>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</si>
  <si>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</si>
  <si>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</si>
  <si>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</si>
  <si>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</si>
  <si>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</si>
  <si>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</si>
  <si>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</si>
  <si>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</si>
  <si>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</si>
  <si>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</si>
  <si>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</si>
  <si>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</si>
  <si>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</si>
  <si>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</si>
  <si>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</si>
  <si>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</si>
  <si>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</si>
  <si>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</si>
  <si>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</si>
  <si>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</si>
  <si>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</si>
  <si>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</si>
  <si>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</si>
  <si>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</si>
  <si>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</si>
  <si>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</si>
  <si>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</si>
  <si>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</si>
  <si>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</si>
  <si>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</si>
  <si>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</si>
  <si>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</si>
  <si>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</si>
  <si>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</si>
  <si>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</si>
  <si>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</si>
  <si>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</si>
  <si>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</si>
  <si>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</si>
  <si>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</si>
  <si>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</si>
  <si>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</si>
  <si>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</si>
  <si>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</si>
  <si>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</si>
  <si>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</si>
  <si>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</si>
  <si>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</si>
  <si>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</si>
  <si>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</si>
  <si>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</si>
  <si>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</si>
  <si>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</si>
  <si>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</si>
  <si>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</si>
  <si>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</si>
  <si>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</si>
  <si>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</si>
  <si>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</si>
  <si>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</si>
  <si>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</si>
  <si>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</si>
  <si>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</si>
  <si>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</si>
  <si>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</si>
  <si>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</si>
  <si>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</si>
  <si>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</si>
  <si>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</si>
  <si>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</si>
  <si>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</si>
  <si>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</si>
  <si>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</si>
  <si>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</si>
  <si>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</si>
  <si>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</si>
  <si>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</si>
  <si>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</si>
  <si>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</si>
  <si>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</si>
  <si>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</si>
  <si>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</si>
  <si>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</si>
  <si>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</si>
  <si>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</si>
  <si>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</si>
  <si>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</si>
  <si>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</si>
  <si>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</si>
  <si>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</si>
  <si>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</si>
  <si>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</si>
  <si>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</si>
  <si>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</si>
  <si>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</si>
  <si>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</si>
  <si>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</si>
  <si>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</si>
  <si>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</si>
  <si>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</si>
  <si>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</si>
  <si>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</si>
  <si>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</si>
  <si>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</si>
  <si>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</si>
  <si>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</si>
  <si>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</si>
  <si>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</si>
  <si>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</si>
  <si>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</si>
  <si>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</si>
  <si>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</si>
  <si>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</si>
  <si>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</si>
  <si>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</si>
  <si>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</si>
  <si>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</si>
  <si>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</si>
  <si>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</si>
  <si>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</si>
  <si>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</si>
  <si>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</si>
  <si>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</si>
  <si>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</si>
  <si>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</si>
  <si>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</si>
  <si>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</si>
  <si>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</si>
  <si>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</si>
  <si>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</si>
  <si>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</si>
  <si>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</si>
  <si>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</si>
  <si>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</si>
  <si>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</si>
  <si>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</si>
  <si>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</si>
  <si>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</si>
  <si>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</si>
  <si>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</si>
  <si>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</si>
  <si>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</si>
  <si>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</si>
  <si>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</si>
  <si>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</si>
  <si>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</si>
  <si>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</si>
  <si>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</si>
  <si>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</si>
  <si>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</si>
  <si>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</si>
  <si>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</si>
  <si>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</si>
  <si>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</si>
  <si>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</si>
  <si>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</si>
  <si>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</si>
  <si>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</si>
  <si>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</si>
  <si>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</si>
  <si>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</si>
  <si>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</si>
  <si>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</si>
  <si>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</si>
  <si>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</si>
  <si>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</si>
  <si>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</si>
  <si>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</si>
  <si>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</si>
  <si>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</si>
  <si>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</si>
  <si>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</si>
  <si>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</si>
  <si>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</si>
  <si>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</si>
  <si>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</si>
  <si>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</si>
  <si>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</si>
  <si>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</si>
  <si>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</si>
  <si>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</si>
  <si>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</si>
  <si>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</si>
  <si>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</si>
  <si>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</si>
  <si>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</si>
  <si>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</si>
  <si>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</si>
  <si>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</si>
  <si>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</si>
  <si>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</si>
  <si>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</si>
  <si>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</si>
  <si>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</si>
  <si>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</si>
  <si>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</si>
  <si>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</si>
  <si>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</si>
  <si>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</si>
  <si>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</si>
  <si>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</si>
  <si>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</si>
  <si>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</si>
  <si>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</si>
  <si>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</si>
  <si>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</si>
  <si>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</si>
  <si>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</si>
  <si>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</si>
  <si>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</si>
  <si>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</si>
  <si>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</si>
  <si>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</si>
  <si>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</si>
  <si>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</si>
  <si>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</si>
  <si>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</si>
  <si>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</si>
  <si>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</si>
  <si>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</si>
  <si>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</si>
  <si>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</si>
  <si>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</si>
  <si>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</si>
  <si>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</si>
  <si>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</si>
  <si>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</si>
  <si>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</si>
  <si>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</si>
  <si>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</si>
  <si>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</si>
  <si>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</si>
  <si>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</si>
  <si>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</si>
  <si>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</si>
  <si>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</si>
  <si>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</si>
  <si>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</si>
  <si>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</si>
  <si>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</si>
  <si>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</si>
  <si>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</si>
  <si>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</si>
  <si>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</si>
  <si>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</si>
  <si>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</si>
  <si>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</si>
  <si>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</si>
  <si>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</si>
  <si>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</si>
  <si>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</si>
  <si>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</si>
  <si>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</si>
  <si>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</si>
  <si>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</si>
  <si>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</si>
  <si>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</si>
  <si>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</si>
  <si>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</si>
  <si>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</si>
  <si>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</si>
  <si>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</si>
  <si>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</si>
  <si>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</si>
  <si>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</si>
  <si>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</si>
  <si>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</si>
  <si>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</si>
  <si>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</si>
  <si>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</si>
  <si>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</si>
  <si>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</si>
  <si>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</si>
  <si>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</si>
  <si>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</si>
  <si>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</si>
  <si>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</si>
  <si>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</si>
  <si>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</si>
  <si>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</si>
  <si>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</si>
  <si>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</si>
  <si>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</si>
  <si>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</si>
  <si>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</si>
  <si>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</si>
  <si>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</si>
  <si>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</si>
  <si>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</si>
  <si>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</si>
  <si>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</si>
  <si>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</si>
  <si>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</si>
  <si>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</si>
  <si>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</si>
  <si>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</si>
  <si>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</si>
  <si>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</si>
  <si>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</si>
  <si>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</si>
  <si>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</si>
  <si>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</si>
  <si>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</si>
  <si>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</si>
  <si>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</si>
  <si>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</si>
  <si>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</si>
  <si>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</si>
  <si>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</si>
  <si>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</si>
  <si>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</si>
  <si>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</si>
  <si>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</si>
  <si>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</si>
  <si>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</si>
  <si>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</si>
  <si>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</si>
  <si>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</si>
  <si>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</si>
  <si>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</si>
  <si>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</si>
  <si>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</si>
  <si>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</si>
  <si>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</si>
  <si>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</si>
  <si>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</si>
  <si>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</si>
  <si>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</si>
  <si>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</si>
  <si>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</si>
  <si>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</si>
  <si>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</si>
  <si>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</si>
  <si>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</si>
  <si>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</si>
  <si>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</si>
  <si>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</si>
  <si>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</si>
  <si>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</si>
  <si>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</si>
  <si>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</si>
  <si>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</si>
  <si>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</si>
  <si>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</si>
  <si>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</si>
  <si>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</si>
  <si>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</si>
  <si>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</si>
  <si>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</si>
  <si>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</si>
  <si>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</si>
  <si>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</si>
  <si>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</si>
  <si>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</si>
  <si>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</si>
  <si>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</si>
  <si>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</si>
  <si>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</si>
  <si>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</si>
  <si>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</si>
  <si>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</si>
  <si>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</si>
  <si>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</si>
  <si>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</si>
  <si>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</si>
  <si>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</si>
  <si>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</si>
  <si>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</si>
  <si>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</si>
  <si>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</si>
  <si>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</si>
  <si>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</si>
  <si>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</si>
  <si>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</si>
  <si>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</si>
  <si>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</si>
  <si>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</si>
  <si>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</si>
  <si>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</si>
  <si>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</si>
  <si>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</si>
  <si>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</si>
  <si>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</si>
  <si>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</si>
  <si>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</si>
  <si>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</si>
  <si>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</si>
  <si>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</si>
  <si>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</si>
  <si>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</si>
  <si>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</si>
  <si>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</si>
  <si>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</si>
  <si>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</si>
  <si>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</si>
  <si>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</si>
  <si>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</si>
  <si>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</si>
  <si>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</si>
  <si>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</si>
  <si>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</si>
  <si>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</si>
  <si>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</si>
  <si>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</si>
  <si>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</si>
  <si>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</si>
  <si>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</si>
  <si>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</si>
  <si>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</si>
  <si>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</si>
  <si>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</si>
  <si>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</si>
  <si>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</si>
  <si>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</si>
  <si>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</si>
  <si>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</si>
  <si>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</si>
  <si>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</si>
  <si>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</si>
  <si>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</si>
  <si>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</si>
  <si>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</si>
  <si>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</si>
  <si>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</si>
  <si>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</si>
  <si>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</si>
  <si>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</si>
  <si>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</si>
  <si>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</si>
  <si>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</si>
  <si>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</si>
  <si>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</si>
  <si>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</si>
  <si>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</si>
  <si>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</si>
  <si>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</si>
  <si>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</si>
  <si>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</si>
  <si>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</si>
  <si>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</si>
  <si>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</si>
  <si>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</si>
  <si>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</si>
  <si>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</si>
  <si>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</si>
  <si>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</si>
  <si>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</si>
  <si>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</si>
  <si>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</si>
  <si>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</si>
  <si>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</si>
  <si>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</si>
  <si>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</si>
  <si>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</si>
  <si>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</si>
  <si>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</si>
  <si>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</si>
  <si>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</si>
  <si>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</si>
  <si>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</si>
  <si>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</si>
  <si>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</si>
  <si>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</si>
  <si>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</si>
  <si>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</si>
  <si>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</si>
  <si>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</si>
  <si>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</si>
  <si>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</si>
  <si>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</si>
  <si>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</si>
  <si>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</si>
  <si>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</si>
  <si>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</si>
  <si>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</si>
  <si>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</si>
  <si>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</si>
  <si>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</si>
  <si>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</si>
  <si>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</si>
  <si>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</si>
  <si>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</si>
  <si>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</si>
  <si>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</si>
  <si>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</si>
  <si>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</si>
  <si>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</si>
  <si>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</si>
  <si>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</si>
  <si>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</si>
  <si>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</si>
  <si>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</si>
  <si>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</si>
  <si>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</si>
  <si>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</si>
  <si>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</si>
  <si>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</si>
  <si>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</si>
  <si>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</si>
  <si>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</si>
  <si>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</si>
  <si>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</si>
  <si>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</si>
  <si>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</si>
  <si>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</si>
  <si>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</si>
  <si>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</si>
  <si>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</si>
  <si>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</si>
  <si>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</si>
  <si>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</si>
  <si>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</si>
  <si>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</si>
  <si>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</si>
  <si>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</si>
  <si>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</si>
  <si>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</si>
  <si>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</si>
  <si>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</si>
  <si>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</si>
  <si>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</si>
  <si>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</si>
  <si>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</si>
  <si>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</si>
  <si>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</si>
  <si>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</si>
  <si>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</si>
  <si>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</si>
  <si>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</si>
  <si>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</si>
  <si>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</si>
  <si>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</si>
  <si>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</si>
  <si>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</si>
  <si>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</si>
  <si>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</si>
  <si>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</si>
  <si>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</si>
  <si>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</si>
  <si>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</si>
  <si>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</si>
  <si>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</si>
  <si>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</si>
  <si>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</si>
  <si>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</si>
  <si>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</si>
  <si>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</si>
  <si>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</si>
  <si>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</si>
  <si>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</si>
  <si>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</si>
  <si>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</si>
  <si>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</si>
  <si>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</si>
  <si>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</si>
  <si>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</si>
  <si>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</si>
  <si>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</si>
  <si>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</si>
  <si>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</si>
  <si>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</si>
  <si>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</si>
  <si>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</si>
  <si>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</si>
  <si>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</si>
  <si>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</si>
  <si>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</si>
  <si>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</si>
  <si>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</si>
  <si>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</si>
  <si>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</si>
  <si>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</si>
  <si>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</si>
  <si>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</si>
  <si>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</si>
  <si>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</si>
  <si>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</si>
  <si>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</si>
  <si>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</si>
  <si>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</si>
  <si>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</si>
  <si>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</si>
  <si>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</si>
  <si>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</si>
  <si>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</si>
  <si>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</si>
  <si>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</si>
  <si>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</si>
  <si>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</si>
  <si>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</si>
  <si>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</si>
  <si>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</si>
  <si>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</si>
  <si>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</si>
  <si>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</si>
  <si>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</si>
  <si>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</si>
  <si>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</si>
  <si>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</si>
  <si>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</si>
  <si>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</si>
  <si>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</si>
  <si>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</si>
  <si>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</si>
  <si>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</si>
  <si>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</si>
  <si>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</si>
  <si>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</si>
  <si>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</si>
  <si>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</si>
  <si>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</si>
  <si>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</si>
  <si>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</si>
  <si>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</si>
  <si>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</si>
  <si>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</si>
  <si>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</si>
  <si>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</si>
  <si>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</si>
  <si>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</si>
  <si>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</si>
  <si>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</si>
  <si>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</si>
  <si>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</si>
  <si>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</si>
  <si>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</si>
  <si>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</si>
  <si>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</si>
  <si>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</si>
  <si>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</si>
  <si>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</si>
  <si>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</si>
  <si>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</si>
  <si>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</si>
  <si>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</si>
  <si>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</si>
  <si>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</si>
  <si>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</si>
  <si>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</si>
  <si>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</si>
  <si>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</si>
  <si>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</si>
  <si>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</si>
  <si>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</si>
  <si>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</si>
  <si>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</si>
  <si>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</si>
  <si>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</si>
  <si>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</si>
  <si>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</si>
  <si>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</si>
  <si>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</si>
  <si>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</si>
  <si>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</si>
  <si>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</si>
  <si>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</si>
  <si>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</si>
  <si>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</si>
  <si>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</si>
  <si>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</si>
  <si>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</si>
  <si>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</si>
  <si>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</si>
  <si>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</si>
  <si>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</si>
  <si>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</si>
  <si>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</si>
  <si>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</si>
  <si>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</si>
  <si>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</si>
  <si>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</si>
  <si>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</si>
  <si>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</si>
  <si>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</si>
  <si>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</si>
  <si>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</si>
  <si>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</si>
  <si>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</si>
  <si>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</si>
  <si>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</si>
  <si>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</si>
  <si>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</si>
  <si>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</si>
  <si>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</si>
  <si>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</si>
  <si>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</si>
  <si>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</si>
  <si>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</si>
  <si>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</si>
  <si>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</si>
  <si>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</si>
  <si>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</si>
  <si>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</si>
  <si>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</si>
  <si>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</si>
  <si>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</si>
  <si>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</si>
  <si>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</si>
  <si>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</si>
  <si>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</si>
  <si>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</si>
  <si>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</si>
  <si>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</si>
  <si>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</si>
  <si>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</si>
  <si>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</si>
  <si>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</si>
  <si>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</si>
  <si>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</si>
  <si>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</si>
  <si>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</si>
  <si>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</si>
  <si>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</si>
  <si>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</si>
  <si>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</si>
  <si>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</si>
  <si>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</si>
  <si>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</si>
  <si>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</si>
  <si>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</si>
  <si>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</si>
  <si>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</si>
  <si>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</si>
  <si>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</si>
  <si>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</si>
  <si>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</si>
  <si>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</si>
  <si>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</si>
  <si>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</si>
  <si>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</si>
  <si>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</si>
  <si>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</si>
  <si>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</si>
  <si>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</si>
  <si>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</si>
  <si>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</si>
  <si>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</si>
  <si>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</si>
  <si>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</si>
  <si>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</si>
  <si>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</si>
  <si>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</si>
  <si>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</si>
  <si>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</si>
  <si>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</si>
  <si>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</si>
  <si>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</si>
  <si>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</si>
  <si>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</si>
  <si>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</si>
  <si>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</si>
  <si>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</si>
  <si>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</si>
  <si>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</si>
  <si>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</si>
  <si>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</si>
  <si>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</si>
  <si>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</si>
  <si>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</si>
  <si>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</si>
  <si>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</si>
  <si>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</si>
  <si>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</si>
  <si>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</si>
  <si>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</si>
  <si>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</si>
  <si>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</si>
  <si>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</si>
  <si>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</si>
  <si>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</si>
  <si>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</si>
  <si>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</si>
  <si>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</si>
  <si>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</si>
  <si>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</si>
  <si>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</si>
  <si>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</si>
  <si>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</si>
  <si>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</si>
  <si>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</si>
  <si>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</si>
  <si>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</si>
  <si>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</si>
  <si>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</si>
  <si>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</si>
  <si>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</si>
  <si>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</si>
  <si>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</si>
  <si>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</si>
  <si>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</si>
  <si>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</si>
  <si>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</si>
  <si>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</si>
  <si>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</si>
  <si>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</si>
  <si>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</si>
  <si>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</si>
  <si>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</si>
  <si>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</si>
  <si>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</si>
  <si>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</si>
  <si>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</si>
  <si>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</si>
  <si>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</si>
  <si>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</si>
  <si>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</si>
  <si>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</si>
  <si>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</si>
  <si>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</si>
  <si>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</si>
  <si>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</si>
  <si>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</si>
  <si>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</si>
  <si>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</si>
  <si>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</si>
  <si>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</si>
  <si>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</si>
  <si>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</si>
  <si>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</si>
  <si>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</si>
  <si>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</si>
  <si>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</si>
  <si>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</si>
  <si>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</si>
  <si>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</si>
  <si>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</si>
  <si>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</si>
  <si>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</si>
  <si>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</si>
  <si>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</si>
  <si>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</si>
  <si>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</si>
  <si>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</si>
  <si>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</si>
  <si>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</si>
  <si>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</si>
  <si>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</si>
  <si>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</si>
  <si>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</si>
  <si>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</si>
  <si>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</si>
  <si>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</si>
  <si>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</si>
  <si>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</si>
  <si>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</si>
  <si>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</si>
  <si>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</si>
  <si>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</si>
  <si>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</si>
  <si>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</si>
  <si>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</si>
  <si>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</si>
  <si>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</si>
  <si>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</si>
  <si>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</si>
  <si>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</si>
  <si>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</si>
  <si>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</si>
  <si>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</si>
  <si>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</si>
  <si>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</si>
  <si>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</si>
  <si>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</si>
  <si>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</si>
  <si>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</si>
  <si>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</si>
  <si>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</si>
  <si>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</si>
  <si>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</si>
  <si>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</si>
  <si>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</si>
  <si>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</si>
  <si>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</si>
  <si>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</si>
  <si>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</si>
  <si>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</si>
  <si>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</si>
  <si>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</si>
  <si>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</si>
  <si>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</si>
  <si>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</si>
  <si>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</si>
  <si>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</si>
  <si>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</si>
  <si>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</si>
  <si>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</si>
  <si>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</si>
  <si>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</si>
  <si>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</si>
  <si>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</si>
  <si>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</si>
  <si>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</si>
  <si>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</si>
  <si>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</si>
  <si>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</si>
  <si>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</si>
  <si>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</si>
  <si>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</si>
  <si>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</si>
  <si>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</si>
  <si>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</si>
  <si>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</si>
  <si>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</si>
  <si>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</si>
  <si>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</si>
  <si>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</si>
  <si>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</si>
  <si>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</si>
  <si>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</si>
  <si>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</si>
  <si>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</si>
  <si>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</si>
  <si>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</si>
  <si>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</si>
  <si>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</si>
  <si>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</si>
  <si>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</si>
  <si>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</si>
  <si>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</si>
  <si>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</si>
  <si>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</si>
  <si>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</si>
  <si>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</si>
  <si>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</si>
  <si>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</si>
  <si>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</si>
  <si>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</si>
  <si>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</si>
  <si>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</si>
  <si>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</si>
  <si>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</si>
  <si>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</si>
  <si>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</si>
  <si>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</si>
  <si>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</si>
  <si>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</si>
  <si>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</si>
  <si>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</si>
  <si>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</si>
  <si>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</si>
  <si>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</si>
  <si>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</si>
  <si>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</si>
  <si>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</si>
  <si>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</si>
  <si>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</si>
  <si>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</si>
  <si>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</si>
  <si>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</si>
  <si>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</si>
  <si>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</si>
  <si>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</si>
  <si>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</si>
  <si>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</si>
  <si>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</si>
  <si>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</si>
  <si>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</si>
  <si>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</si>
  <si>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</si>
  <si>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</si>
  <si>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</si>
  <si>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</si>
  <si>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</si>
  <si>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</si>
  <si>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</si>
  <si>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</si>
  <si>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</si>
  <si>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</si>
  <si>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</si>
  <si>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</si>
  <si>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</si>
  <si>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</si>
  <si>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</si>
  <si>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</si>
  <si>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</si>
  <si>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</si>
  <si>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</si>
  <si>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</si>
  <si>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</si>
  <si>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</si>
  <si>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</si>
  <si>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</si>
  <si>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</si>
  <si>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</si>
  <si>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</si>
  <si>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</si>
  <si>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</si>
  <si>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</si>
  <si>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</si>
  <si>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</si>
  <si>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</si>
  <si>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</si>
  <si>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</si>
  <si>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</si>
  <si>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</si>
  <si>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</si>
  <si>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</si>
  <si>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</si>
  <si>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</si>
  <si>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</si>
  <si>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</si>
  <si>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</si>
  <si>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</si>
  <si>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</si>
  <si>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</si>
  <si>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</si>
  <si>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</si>
  <si>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</si>
  <si>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</si>
  <si>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</si>
  <si>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</si>
  <si>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</si>
  <si>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</si>
  <si>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</si>
  <si>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</si>
  <si>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</si>
  <si>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</si>
  <si>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</si>
  <si>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</si>
  <si>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</si>
  <si>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</si>
  <si>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</si>
  <si>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</si>
  <si>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</si>
  <si>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</si>
  <si>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</si>
  <si>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</si>
  <si>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</si>
  <si>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</si>
  <si>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</si>
  <si>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</si>
  <si>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</si>
  <si>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</si>
  <si>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</si>
  <si>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</si>
  <si>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</si>
  <si>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</si>
  <si>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</si>
  <si>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</si>
  <si>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</si>
  <si>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</si>
  <si>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</si>
  <si>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</si>
  <si>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</si>
  <si>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</si>
  <si>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</si>
  <si>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</si>
  <si>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</si>
  <si>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</si>
  <si>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</si>
  <si>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</si>
  <si>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</si>
  <si>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</si>
  <si>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</si>
  <si>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</si>
  <si>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</si>
  <si>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</si>
  <si>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</si>
  <si>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</si>
  <si>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</si>
  <si>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</si>
  <si>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</si>
  <si>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</si>
  <si>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</si>
  <si>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</si>
  <si>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</si>
  <si>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</si>
  <si>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</si>
  <si>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</si>
  <si>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</si>
  <si>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</si>
  <si>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</si>
  <si>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</si>
  <si>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</si>
  <si>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</si>
  <si>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</si>
  <si>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</si>
  <si>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</si>
  <si>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</si>
  <si>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</si>
  <si>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</si>
  <si>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</si>
  <si>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</si>
  <si>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</si>
  <si>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</si>
  <si>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</si>
  <si>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</si>
  <si>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</si>
  <si>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</si>
  <si>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</si>
  <si>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</si>
  <si>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</si>
  <si>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</si>
  <si>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</si>
  <si>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</si>
  <si>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</si>
  <si>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</si>
  <si>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</si>
  <si>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</si>
  <si>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</si>
  <si>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</si>
  <si>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</si>
  <si>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</si>
  <si>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</si>
  <si>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</si>
  <si>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</si>
  <si>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</si>
  <si>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</si>
  <si>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</si>
  <si>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</si>
  <si>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</si>
  <si>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</si>
  <si>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</si>
  <si>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</si>
  <si>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</si>
  <si>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</si>
  <si>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</si>
  <si>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</si>
  <si>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</si>
  <si>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</si>
  <si>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</si>
  <si>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</si>
  <si>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</si>
  <si>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</si>
  <si>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</si>
  <si>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</si>
  <si>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</si>
  <si>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</si>
  <si>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</si>
  <si>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</si>
  <si>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</si>
  <si>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</si>
  <si>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</si>
  <si>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</si>
  <si>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</si>
  <si>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</si>
  <si>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</si>
  <si>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</si>
  <si>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</si>
  <si>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</si>
  <si>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</si>
  <si>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</si>
  <si>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</si>
  <si>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</si>
  <si>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</si>
  <si>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</si>
  <si>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</si>
  <si>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</si>
  <si>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</si>
  <si>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</si>
  <si>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</si>
  <si>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</si>
  <si>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</si>
  <si>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</si>
  <si>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</si>
  <si>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</si>
  <si>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</si>
  <si>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</si>
  <si>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</si>
  <si>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</si>
  <si>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</si>
  <si>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</si>
  <si>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</si>
  <si>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</si>
  <si>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</si>
  <si>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</si>
  <si>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</si>
  <si>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</si>
  <si>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</si>
  <si>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</si>
  <si>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</si>
  <si>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</si>
  <si>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</si>
  <si>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</si>
  <si>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</si>
  <si>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</si>
  <si>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</si>
  <si>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</si>
  <si>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</si>
  <si>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</si>
  <si>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</si>
  <si>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</si>
  <si>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</si>
  <si>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</si>
  <si>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</si>
  <si>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</si>
  <si>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</si>
  <si>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</si>
  <si>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</si>
  <si>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</si>
  <si>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</si>
  <si>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</si>
  <si>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</si>
  <si>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</si>
  <si>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</si>
  <si>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</si>
  <si>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</si>
  <si>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</si>
  <si>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</si>
  <si>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</si>
  <si>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</si>
  <si>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</si>
  <si>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</si>
  <si>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</si>
  <si>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</si>
  <si>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</si>
  <si>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</si>
  <si>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</si>
  <si>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</si>
  <si>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</si>
  <si>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</si>
  <si>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</si>
  <si>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</si>
  <si>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</si>
  <si>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</si>
  <si>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</si>
  <si>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</si>
  <si>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</si>
  <si>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</si>
  <si>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</si>
  <si>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</si>
  <si>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</si>
  <si>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</si>
  <si>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</si>
  <si>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</si>
  <si>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</si>
  <si>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</si>
  <si>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</si>
  <si>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</si>
  <si>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</si>
  <si>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</si>
  <si>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</si>
  <si>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</si>
  <si>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</si>
  <si>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</si>
  <si>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</si>
  <si>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</si>
  <si>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</si>
  <si>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</si>
  <si>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</si>
  <si>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</si>
  <si>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</si>
  <si>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</si>
  <si>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</si>
  <si>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</si>
  <si>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</si>
  <si>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</si>
  <si>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</si>
  <si>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</si>
  <si>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</si>
  <si>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</si>
  <si>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</si>
  <si>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</si>
  <si>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</si>
  <si>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</si>
  <si>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</si>
  <si>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</si>
  <si>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</si>
  <si>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</si>
  <si>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</si>
  <si>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</si>
  <si>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</si>
  <si>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</si>
  <si>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</si>
  <si>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</si>
  <si>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</si>
  <si>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</si>
  <si>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</si>
  <si>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</si>
  <si>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</si>
  <si>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</si>
  <si>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</si>
  <si>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</si>
  <si>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</si>
  <si>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</si>
  <si>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</si>
  <si>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</si>
  <si>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</si>
  <si>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</si>
  <si>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</si>
  <si>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</si>
  <si>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</si>
  <si>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</si>
  <si>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</si>
  <si>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</si>
  <si>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</si>
  <si>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</si>
  <si>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</si>
  <si>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</si>
  <si>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</si>
  <si>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</si>
  <si>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</si>
  <si>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</si>
  <si>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</si>
  <si>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</si>
  <si>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</si>
  <si>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</si>
  <si>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</si>
  <si>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</si>
  <si>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</si>
  <si>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</si>
  <si>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</si>
  <si>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</si>
  <si>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</si>
  <si>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</si>
  <si>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</si>
  <si>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</si>
  <si>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</si>
  <si>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</si>
  <si>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</si>
  <si>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</si>
  <si>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</si>
  <si>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</si>
  <si>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</si>
  <si>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</si>
  <si>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</si>
  <si>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</si>
  <si>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</si>
  <si>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</si>
  <si>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</si>
  <si>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</si>
  <si>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</si>
  <si>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</si>
  <si>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</si>
  <si>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</si>
  <si>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</si>
  <si>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</si>
  <si>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</si>
  <si>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</si>
  <si>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</si>
  <si>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</si>
  <si>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</si>
  <si>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</si>
  <si>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</si>
  <si>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</si>
  <si>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</si>
  <si>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</si>
  <si>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</si>
  <si>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</si>
  <si>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</si>
  <si>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</si>
  <si>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</si>
  <si>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</si>
  <si>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</si>
  <si>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</si>
  <si>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</si>
  <si>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</si>
  <si>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</si>
  <si>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</si>
  <si>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</si>
  <si>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</si>
  <si>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</si>
  <si>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</si>
  <si>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</si>
  <si>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</si>
  <si>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</si>
  <si>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</si>
  <si>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</si>
  <si>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</si>
  <si>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</si>
  <si>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</si>
  <si>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</si>
  <si>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</si>
  <si>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</si>
  <si>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</si>
  <si>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</si>
  <si>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</si>
  <si>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</si>
  <si>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</si>
  <si>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</si>
  <si>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</si>
  <si>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</si>
  <si>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</si>
  <si>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</si>
  <si>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</si>
  <si>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</si>
  <si>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</si>
  <si>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</si>
  <si>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</si>
  <si>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</si>
  <si>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</si>
  <si>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</si>
  <si>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</si>
  <si>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</si>
  <si>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</si>
  <si>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</si>
  <si>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</si>
  <si>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</si>
  <si>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</si>
  <si>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</si>
  <si>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</si>
  <si>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</si>
  <si>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</si>
  <si>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</si>
  <si>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</si>
  <si>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</si>
  <si>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</si>
  <si>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</si>
  <si>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</si>
  <si>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</si>
  <si>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</si>
  <si>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</si>
  <si>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</si>
  <si>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</si>
  <si>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</si>
  <si>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</si>
  <si>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</si>
  <si>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</si>
  <si>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</si>
  <si>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</si>
  <si>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</si>
  <si>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</si>
  <si>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</si>
  <si>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</si>
  <si>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</si>
  <si>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</si>
  <si>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</si>
  <si>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</si>
  <si>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</si>
  <si>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</si>
  <si>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</si>
  <si>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</si>
  <si>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</si>
  <si>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</si>
  <si>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</si>
  <si>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</si>
  <si>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</si>
  <si>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</si>
  <si>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</si>
  <si>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</si>
  <si>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</si>
  <si>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</si>
  <si>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</si>
  <si>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</si>
  <si>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</si>
  <si>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</si>
  <si>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</si>
  <si>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</si>
  <si>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</si>
  <si>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</si>
  <si>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</si>
  <si>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</si>
  <si>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</si>
  <si>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</si>
  <si>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</si>
  <si>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</si>
  <si>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</si>
  <si>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</si>
  <si>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</si>
  <si>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</si>
  <si>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</si>
  <si>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</si>
  <si>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</si>
  <si>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</si>
  <si>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</si>
  <si>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</si>
  <si>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</si>
  <si>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</si>
  <si>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</si>
  <si>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</si>
  <si>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</si>
  <si>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</si>
  <si>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</si>
  <si>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</si>
  <si>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</si>
  <si>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</si>
  <si>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</si>
  <si>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</si>
  <si>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</si>
  <si>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</si>
  <si>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</si>
  <si>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</si>
  <si>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</si>
  <si>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</si>
  <si>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</si>
  <si>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</si>
  <si>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</si>
  <si>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</si>
  <si>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</si>
  <si>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</si>
  <si>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</si>
  <si>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</si>
  <si>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</si>
  <si>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</si>
  <si>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</si>
  <si>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</si>
  <si>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</si>
  <si>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</si>
  <si>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</si>
  <si>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</si>
  <si>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</si>
  <si>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</si>
  <si>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</si>
  <si>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</si>
  <si>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</si>
  <si>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</si>
  <si>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</si>
  <si>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</si>
  <si>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</si>
  <si>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</si>
  <si>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</si>
  <si>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</si>
  <si>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</si>
  <si>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</si>
  <si>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</si>
  <si>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</si>
  <si>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</si>
  <si>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</si>
  <si>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</si>
  <si>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</si>
  <si>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</si>
  <si>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</si>
  <si>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</si>
  <si>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</si>
  <si>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</si>
  <si>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</si>
  <si>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</si>
  <si>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</si>
  <si>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</si>
  <si>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</si>
  <si>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</si>
  <si>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</si>
  <si>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</si>
  <si>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</si>
  <si>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</si>
  <si>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</si>
  <si>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</si>
  <si>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</si>
  <si>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</si>
  <si>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</si>
  <si>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</si>
  <si>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</si>
  <si>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</si>
  <si>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</si>
  <si>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</si>
  <si>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</si>
  <si>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</si>
  <si>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</si>
  <si>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</si>
  <si>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</si>
  <si>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</si>
  <si>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</si>
  <si>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</si>
  <si>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</si>
  <si>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</si>
  <si>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</si>
  <si>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</si>
  <si>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</si>
  <si>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</si>
  <si>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</si>
  <si>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</si>
  <si>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</si>
  <si>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</si>
  <si>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</si>
  <si>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</si>
  <si>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</si>
  <si>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</si>
  <si>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</si>
  <si>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</si>
  <si>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</si>
  <si>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</si>
  <si>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</si>
  <si>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</si>
  <si>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</si>
  <si>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</si>
  <si>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</si>
  <si>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</si>
  <si>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</si>
  <si>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</si>
  <si>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</si>
  <si>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</si>
  <si>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</si>
  <si>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</si>
  <si>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</si>
  <si>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</si>
  <si>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</si>
  <si>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</si>
  <si>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</si>
  <si>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</si>
  <si>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</si>
  <si>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</si>
  <si>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</si>
  <si>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</si>
  <si>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</si>
  <si>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</si>
  <si>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</si>
  <si>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</si>
  <si>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</si>
  <si>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</si>
  <si>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</si>
  <si>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</si>
  <si>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</si>
  <si>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</si>
  <si>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</si>
  <si>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</si>
  <si>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</si>
  <si>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</si>
  <si>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</si>
  <si>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</si>
  <si>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</si>
  <si>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</si>
  <si>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</si>
  <si>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</si>
  <si>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</si>
  <si>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</si>
  <si>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</si>
  <si>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</si>
  <si>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</si>
  <si>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</si>
  <si>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</si>
  <si>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</si>
  <si>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</si>
  <si>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</si>
  <si>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</si>
  <si>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</si>
  <si>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</si>
  <si>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</si>
  <si>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</si>
  <si>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</si>
  <si>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</si>
  <si>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</si>
  <si>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</si>
  <si>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</si>
  <si>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</si>
  <si>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</si>
  <si>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</si>
  <si>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</si>
  <si>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</si>
  <si>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</si>
  <si>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</si>
  <si>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</si>
  <si>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</si>
  <si>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</si>
  <si>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</si>
  <si>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</si>
  <si>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</si>
  <si>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</si>
  <si>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</si>
  <si>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</si>
  <si>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</si>
  <si>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</si>
  <si>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</si>
  <si>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</si>
  <si>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</si>
  <si>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</si>
  <si>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</si>
  <si>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</si>
  <si>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</si>
  <si>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</si>
  <si>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</si>
  <si>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</si>
  <si>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</si>
  <si>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</si>
  <si>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</si>
  <si>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</si>
  <si>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</si>
  <si>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</si>
  <si>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</si>
  <si>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</si>
  <si>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</si>
  <si>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</si>
  <si>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</si>
  <si>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</si>
  <si>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</si>
  <si>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</si>
  <si>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</si>
  <si>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</si>
  <si>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</si>
  <si>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</si>
  <si>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</si>
  <si>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</si>
  <si>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</si>
  <si>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</si>
  <si>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</si>
  <si>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</si>
  <si>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</si>
  <si>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</si>
  <si>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</si>
  <si>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</si>
  <si>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</si>
  <si>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</si>
  <si>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</si>
  <si>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</si>
  <si>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</si>
  <si>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</si>
  <si>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</si>
  <si>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</si>
  <si>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</si>
  <si>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</si>
  <si>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</si>
  <si>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</si>
  <si>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</si>
  <si>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</si>
  <si>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</si>
  <si>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</si>
  <si>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</si>
  <si>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</si>
  <si>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</si>
  <si>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</si>
  <si>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</si>
  <si>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</si>
  <si>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</si>
  <si>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</si>
  <si>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</si>
  <si>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</si>
  <si>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</si>
  <si>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</si>
  <si>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</si>
  <si>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</si>
  <si>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</si>
  <si>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</si>
  <si>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</si>
  <si>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</si>
  <si>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</si>
  <si>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</si>
  <si>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</si>
  <si>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</si>
  <si>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</si>
  <si>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</si>
  <si>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</si>
  <si>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</si>
  <si>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</si>
  <si>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</si>
  <si>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</si>
  <si>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</si>
  <si>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</si>
  <si>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</si>
  <si>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</si>
  <si>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</si>
  <si>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</si>
  <si>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</si>
  <si>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</si>
  <si>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</si>
  <si>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</si>
  <si>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</si>
  <si>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</si>
  <si>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</si>
  <si>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</si>
  <si>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</si>
  <si>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</si>
  <si>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</si>
  <si>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</si>
  <si>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</si>
  <si>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</si>
  <si>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</si>
  <si>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</si>
  <si>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</si>
  <si>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</si>
  <si>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</si>
  <si>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</si>
  <si>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</si>
  <si>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</si>
  <si>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</si>
  <si>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</si>
  <si>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</si>
  <si>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</si>
  <si>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</si>
  <si>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</si>
  <si>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</si>
  <si>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</si>
  <si>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</si>
  <si>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</si>
  <si>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</si>
  <si>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</si>
  <si>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</si>
  <si>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</si>
  <si>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</si>
  <si>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</si>
  <si>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</si>
  <si>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</si>
  <si>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</si>
  <si>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</si>
  <si>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</si>
  <si>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</si>
  <si>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</si>
  <si>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</si>
  <si>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</si>
  <si>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</si>
  <si>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</si>
  <si>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</si>
  <si>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</si>
  <si>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</si>
  <si>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</si>
  <si>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</si>
  <si>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</si>
  <si>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</si>
  <si>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</si>
  <si>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</si>
  <si>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</si>
  <si>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</si>
  <si>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</si>
  <si>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</si>
  <si>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</si>
  <si>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</si>
  <si>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</si>
  <si>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</si>
  <si>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</si>
  <si>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</si>
  <si>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</si>
  <si>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</si>
  <si>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</si>
  <si>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</si>
  <si>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</si>
  <si>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</si>
  <si>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</si>
  <si>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</si>
  <si>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</si>
  <si>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</si>
  <si>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</si>
  <si>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</si>
  <si>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</si>
  <si>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</si>
  <si>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</si>
  <si>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</si>
  <si>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</si>
  <si>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</si>
  <si>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</si>
  <si>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</si>
  <si>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</si>
  <si>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</si>
  <si>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</si>
  <si>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</si>
  <si>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</si>
  <si>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</si>
  <si>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</si>
  <si>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</si>
  <si>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</si>
  <si>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</si>
  <si>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</si>
  <si>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</si>
  <si>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</si>
  <si>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</si>
  <si>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</si>
  <si>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</si>
  <si>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</si>
  <si>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</si>
  <si>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</si>
  <si>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</si>
  <si>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</si>
  <si>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</si>
  <si>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</si>
  <si>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</si>
  <si>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</si>
  <si>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</si>
  <si>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</si>
  <si>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</si>
  <si>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</si>
  <si>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</si>
  <si>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</si>
  <si>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</si>
  <si>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</si>
  <si>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</si>
  <si>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</si>
  <si>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</si>
  <si>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</si>
  <si>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</si>
  <si>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</si>
  <si>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</si>
  <si>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</si>
  <si>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</si>
  <si>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</si>
  <si>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</si>
  <si>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</si>
  <si>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</si>
  <si>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</si>
  <si>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</si>
  <si>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</si>
  <si>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</si>
  <si>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</si>
  <si>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</si>
  <si>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</si>
  <si>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</si>
  <si>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</si>
  <si>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</si>
  <si>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</si>
  <si>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</si>
  <si>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</si>
  <si>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</si>
  <si>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</si>
  <si>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</si>
  <si>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</si>
  <si>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</si>
  <si>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</si>
  <si>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</si>
  <si>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</si>
  <si>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</si>
  <si>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</si>
  <si>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</si>
  <si>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</si>
  <si>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</si>
  <si>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</si>
  <si>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</si>
  <si>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</si>
  <si>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</si>
  <si>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</si>
  <si>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</si>
  <si>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</si>
  <si>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</si>
  <si>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</si>
  <si>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</si>
  <si>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</si>
  <si>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</si>
  <si>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</si>
  <si>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</si>
  <si>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</si>
  <si>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</si>
  <si>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</si>
  <si>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</si>
  <si>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</si>
  <si>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</si>
  <si>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</si>
  <si>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</si>
  <si>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</si>
  <si>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</si>
  <si>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</si>
  <si>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</si>
  <si>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</si>
  <si>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</si>
  <si>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</si>
  <si>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</si>
  <si>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</si>
  <si>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</si>
  <si>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</si>
  <si>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</si>
  <si>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</si>
  <si>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</si>
  <si>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</si>
  <si>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</si>
  <si>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</si>
  <si>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</si>
  <si>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</si>
  <si>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</si>
  <si>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</si>
  <si>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</si>
  <si>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</si>
  <si>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</si>
  <si>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</si>
  <si>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</si>
  <si>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</si>
  <si>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</si>
  <si>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</si>
  <si>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</si>
  <si>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</si>
  <si>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</si>
  <si>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</si>
  <si>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</si>
  <si>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</si>
  <si>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</si>
  <si>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</si>
  <si>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</si>
  <si>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</si>
  <si>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</si>
  <si>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</si>
  <si>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</si>
  <si>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</si>
  <si>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</si>
  <si>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</si>
  <si>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</si>
  <si>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</si>
  <si>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</si>
  <si>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</si>
  <si>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</si>
  <si>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</si>
  <si>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</si>
  <si>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</si>
  <si>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</si>
  <si>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</si>
  <si>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</si>
  <si>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</si>
  <si>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</si>
  <si>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</si>
  <si>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</si>
  <si>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</si>
  <si>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</si>
  <si>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</si>
  <si>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</si>
  <si>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</si>
  <si>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</si>
  <si>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</si>
  <si>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</si>
  <si>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</si>
  <si>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</si>
  <si>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</si>
  <si>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</si>
  <si>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</si>
  <si>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</si>
  <si>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</si>
  <si>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</si>
  <si>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</si>
  <si>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</si>
  <si>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</si>
  <si>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</si>
  <si>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</si>
  <si>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</si>
  <si>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</si>
  <si>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</si>
  <si>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</si>
  <si>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</si>
  <si>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</si>
  <si>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</si>
  <si>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</si>
  <si>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</si>
  <si>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</si>
  <si>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</si>
  <si>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</si>
  <si>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</si>
  <si>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</si>
  <si>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</si>
  <si>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</si>
  <si>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</si>
  <si>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</si>
  <si>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</si>
  <si>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</si>
  <si>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</si>
  <si>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</si>
  <si>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</si>
  <si>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</si>
  <si>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</si>
  <si>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</si>
  <si>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</si>
  <si>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</si>
  <si>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</si>
  <si>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</si>
  <si>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</si>
  <si>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</si>
  <si>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</si>
  <si>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</si>
  <si>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</si>
  <si>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</si>
  <si>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</si>
  <si>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</si>
  <si>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</si>
  <si>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</si>
  <si>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</si>
  <si>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</si>
  <si>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</si>
  <si>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</si>
  <si>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</si>
  <si>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</si>
  <si>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</si>
  <si>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</si>
  <si>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</si>
  <si>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</si>
  <si>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</si>
  <si>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</si>
  <si>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</si>
  <si>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</si>
  <si>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</si>
  <si>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</si>
  <si>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</si>
  <si>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</si>
  <si>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</si>
  <si>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</si>
  <si>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</si>
  <si>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</si>
  <si>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</si>
  <si>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</si>
  <si>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</si>
  <si>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</si>
  <si>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</si>
  <si>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</si>
  <si>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</si>
  <si>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</si>
  <si>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</si>
  <si>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</si>
  <si>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</si>
  <si>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</si>
  <si>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</si>
  <si>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</si>
  <si>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</si>
  <si>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</si>
  <si>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</si>
  <si>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</si>
  <si>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</si>
  <si>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</si>
  <si>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</si>
  <si>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</si>
  <si>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</si>
  <si>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</si>
  <si>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</si>
  <si>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</si>
  <si>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</si>
  <si>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</si>
  <si>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</si>
  <si>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</si>
  <si>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</si>
  <si>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</si>
  <si>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</si>
  <si>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</si>
  <si>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</si>
  <si>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</si>
  <si>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</si>
  <si>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</si>
  <si>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</si>
  <si>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</si>
  <si>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</si>
  <si>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</si>
  <si>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</si>
  <si>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</si>
  <si>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</si>
  <si>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</si>
  <si>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</si>
  <si>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</si>
  <si>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</si>
  <si>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</si>
  <si>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</si>
  <si>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</si>
  <si>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</si>
  <si>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</si>
  <si>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</si>
  <si>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</si>
  <si>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</si>
  <si>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</si>
  <si>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</si>
  <si>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</si>
  <si>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</si>
  <si>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</si>
  <si>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</si>
  <si>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</si>
  <si>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</si>
  <si>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</si>
  <si>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</si>
  <si>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</si>
  <si>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</si>
  <si>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</si>
  <si>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</si>
  <si>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</si>
  <si>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</si>
  <si>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</si>
  <si>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</si>
  <si>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</si>
  <si>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</si>
  <si>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</si>
  <si>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</si>
  <si>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</si>
  <si>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</si>
  <si>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</si>
  <si>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</si>
  <si>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</si>
  <si>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</si>
  <si>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</si>
  <si>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</si>
  <si>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</si>
  <si>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</si>
  <si>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</si>
  <si>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</si>
  <si>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</si>
  <si>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</si>
  <si>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</si>
  <si>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</si>
  <si>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</si>
  <si>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</si>
  <si>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</si>
  <si>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</si>
  <si>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</si>
  <si>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</si>
  <si>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</si>
  <si>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</si>
  <si>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</si>
  <si>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</si>
  <si>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</si>
  <si>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</si>
  <si>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</si>
  <si>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</si>
  <si>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</si>
  <si>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</si>
  <si>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</si>
  <si>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</si>
  <si>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</si>
  <si>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</si>
  <si>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</si>
  <si>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</si>
  <si>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</si>
  <si>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</si>
  <si>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</si>
  <si>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</si>
  <si>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</si>
  <si>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</si>
  <si>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</si>
  <si>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</si>
  <si>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</si>
  <si>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</si>
  <si>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</si>
  <si>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</si>
  <si>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</si>
  <si>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</si>
  <si>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</si>
  <si>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</si>
  <si>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</si>
  <si>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</si>
  <si>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</si>
  <si>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</si>
  <si>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</si>
  <si>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</si>
  <si>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</si>
  <si>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</si>
  <si>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</si>
  <si>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</si>
  <si>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</si>
  <si>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</si>
  <si>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</si>
  <si>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</si>
  <si>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</si>
  <si>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</si>
  <si>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</si>
  <si>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</si>
  <si>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</si>
  <si>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</si>
  <si>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</si>
  <si>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</si>
  <si>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</si>
  <si>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</si>
  <si>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</si>
  <si>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</si>
  <si>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</si>
  <si>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</si>
  <si>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</si>
  <si>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</si>
  <si>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</si>
  <si>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</si>
  <si>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</si>
  <si>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</si>
  <si>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</si>
  <si>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</si>
  <si>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</si>
  <si>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</si>
  <si>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</si>
  <si>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</si>
  <si>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</si>
  <si>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</si>
  <si>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</si>
  <si>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</si>
  <si>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</si>
  <si>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</si>
  <si>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</si>
  <si>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</si>
  <si>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</si>
  <si>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</si>
  <si>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</si>
  <si>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</si>
  <si>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</si>
  <si>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</si>
  <si>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</si>
  <si>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</si>
  <si>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</si>
  <si>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</si>
  <si>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</si>
  <si>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</si>
  <si>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</si>
  <si>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</si>
  <si>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</si>
  <si>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</si>
  <si>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</si>
  <si>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</si>
  <si>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</si>
  <si>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</si>
  <si>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</si>
  <si>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</si>
  <si>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</si>
  <si>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</si>
  <si>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</si>
  <si>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</si>
  <si>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</si>
  <si>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</si>
  <si>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</si>
  <si>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</si>
  <si>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</si>
  <si>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</si>
  <si>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</si>
  <si>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</si>
  <si>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</si>
  <si>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</si>
  <si>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</si>
  <si>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</si>
  <si>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</si>
  <si>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</si>
  <si>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</si>
  <si>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</si>
  <si>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</si>
  <si>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</si>
  <si>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</si>
  <si>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</si>
  <si>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</si>
  <si>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</si>
  <si>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</si>
  <si>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</si>
  <si>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</si>
  <si>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</si>
  <si>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</si>
  <si>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</si>
  <si>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</si>
  <si>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</si>
  <si>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</si>
  <si>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</si>
  <si>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</si>
  <si>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</si>
  <si>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</si>
  <si>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</si>
  <si>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</si>
  <si>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</si>
  <si>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</si>
  <si>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</si>
  <si>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</si>
  <si>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</si>
  <si>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</si>
  <si>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</si>
  <si>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</si>
  <si>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</si>
  <si>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</si>
  <si>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</si>
  <si>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</si>
  <si>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</si>
  <si>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</si>
  <si>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</si>
  <si>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</si>
  <si>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</si>
  <si>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</si>
  <si>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</si>
  <si>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</si>
  <si>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</si>
  <si>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</si>
  <si>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</si>
  <si>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</si>
  <si>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</si>
  <si>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</si>
  <si>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</si>
  <si>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</si>
  <si>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</si>
  <si>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</si>
  <si>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</si>
  <si>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</si>
  <si>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</si>
  <si>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</si>
  <si>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</si>
  <si>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</si>
  <si>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</si>
  <si>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</si>
  <si>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</si>
  <si>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</si>
  <si>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</si>
  <si>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</si>
  <si>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</si>
  <si>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</si>
  <si>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</si>
  <si>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</si>
  <si>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</si>
  <si>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</si>
  <si>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</si>
  <si>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</si>
  <si>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</si>
  <si>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</si>
  <si>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</si>
  <si>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</si>
  <si>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</si>
  <si>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</si>
  <si>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</si>
  <si>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</si>
  <si>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</si>
  <si>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</si>
  <si>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</si>
  <si>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</si>
  <si>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</si>
  <si>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</si>
  <si>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</si>
  <si>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</si>
  <si>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</si>
  <si>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</si>
  <si>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</si>
  <si>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</si>
  <si>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</si>
  <si>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</si>
  <si>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</si>
  <si>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</si>
  <si>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</si>
  <si>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</si>
  <si>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</si>
  <si>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</si>
  <si>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</si>
  <si>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</si>
  <si>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</si>
  <si>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</si>
  <si>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</si>
  <si>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</si>
  <si>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</si>
  <si>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</si>
  <si>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</si>
  <si>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</si>
  <si>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</si>
  <si>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</si>
  <si>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</si>
  <si>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</si>
  <si>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</si>
  <si>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</si>
  <si>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</si>
  <si>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</si>
  <si>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</si>
  <si>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</si>
  <si>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</si>
  <si>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</si>
  <si>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</si>
  <si>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</si>
  <si>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</si>
  <si>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</si>
  <si>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</si>
  <si>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</si>
  <si>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</si>
  <si>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</si>
  <si>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</si>
  <si>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</si>
  <si>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</si>
  <si>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</si>
  <si>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</si>
  <si>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</si>
  <si>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</si>
  <si>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</si>
  <si>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</si>
  <si>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</si>
  <si>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</si>
  <si>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</si>
  <si>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</si>
  <si>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</si>
  <si>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</si>
  <si>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</si>
  <si>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</si>
  <si>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</si>
  <si>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</si>
  <si>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</si>
  <si>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</si>
  <si>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</si>
  <si>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</si>
  <si>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</si>
  <si>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</si>
  <si>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</si>
  <si>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</si>
  <si>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</si>
  <si>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</si>
  <si>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</si>
  <si>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</si>
  <si>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</si>
  <si>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</si>
  <si>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</si>
  <si>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</si>
  <si>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</si>
  <si>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</si>
  <si>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</si>
  <si>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</si>
  <si>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</si>
  <si>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</si>
  <si>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</si>
  <si>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</si>
  <si>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</si>
  <si>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</si>
  <si>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</si>
  <si>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</si>
  <si>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</si>
  <si>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</si>
  <si>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</si>
  <si>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</si>
  <si>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</si>
  <si>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</si>
  <si>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</si>
  <si>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</si>
  <si>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</si>
  <si>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</si>
  <si>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</si>
  <si>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</si>
  <si>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</si>
  <si>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</si>
  <si>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</si>
  <si>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</si>
  <si>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</si>
  <si>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</si>
  <si>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</si>
  <si>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</si>
  <si>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</si>
  <si>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</si>
  <si>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</si>
  <si>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</si>
  <si>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</si>
  <si>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</si>
  <si>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</si>
  <si>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</si>
  <si>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</si>
  <si>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</si>
  <si>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</si>
  <si>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</si>
  <si>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</si>
  <si>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</si>
  <si>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</si>
  <si>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</si>
  <si>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</si>
  <si>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</si>
  <si>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</si>
  <si>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</si>
  <si>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</si>
  <si>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</si>
  <si>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</si>
  <si>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</si>
  <si>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</si>
  <si>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</si>
  <si>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</si>
  <si>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</si>
  <si>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</si>
  <si>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</si>
  <si>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</si>
  <si>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</si>
  <si>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</si>
  <si>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</si>
  <si>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</si>
  <si>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</si>
  <si>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</si>
  <si>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</si>
  <si>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</si>
  <si>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</si>
  <si>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</si>
  <si>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</si>
  <si>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</si>
  <si>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</si>
  <si>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</si>
  <si>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</si>
  <si>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</si>
  <si>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</si>
  <si>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</si>
  <si>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</si>
  <si>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</si>
  <si>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</si>
  <si>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</si>
  <si>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</si>
  <si>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</si>
  <si>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</si>
  <si>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</si>
  <si>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</si>
  <si>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</si>
  <si>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</si>
  <si>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</si>
  <si>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</si>
  <si>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</si>
  <si>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</si>
  <si>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</si>
  <si>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</si>
  <si>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</si>
  <si>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</si>
  <si>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</si>
  <si>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</si>
  <si>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</si>
  <si>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</si>
  <si>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</si>
  <si>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</si>
  <si>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</si>
  <si>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</si>
  <si>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</si>
  <si>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</si>
  <si>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</si>
  <si>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</si>
  <si>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</si>
  <si>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</si>
  <si>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</si>
  <si>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</si>
  <si>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</si>
  <si>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</si>
  <si>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</si>
  <si>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</si>
  <si>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</si>
  <si>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</si>
  <si>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</si>
  <si>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</si>
  <si>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</si>
  <si>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</si>
  <si>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</si>
  <si>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</si>
  <si>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</si>
  <si>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</si>
  <si>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</si>
  <si>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</si>
  <si>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</si>
  <si>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</si>
  <si>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</si>
  <si>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</si>
  <si>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</si>
  <si>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</si>
  <si>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</si>
  <si>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</si>
  <si>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</si>
  <si>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</si>
  <si>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</si>
  <si>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</si>
  <si>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</si>
  <si>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</si>
  <si>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</si>
  <si>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</si>
  <si>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</si>
  <si>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</si>
  <si>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</si>
  <si>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</si>
  <si>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</si>
  <si>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</si>
  <si>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</si>
  <si>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</si>
  <si>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</si>
  <si>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</si>
  <si>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</si>
  <si>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</si>
  <si>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</si>
  <si>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</si>
  <si>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</si>
  <si>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</si>
  <si>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</si>
  <si>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</si>
  <si>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</si>
  <si>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</si>
  <si>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</si>
  <si>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</si>
  <si>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</si>
  <si>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</si>
  <si>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</si>
  <si>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</si>
  <si>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</si>
  <si>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</si>
  <si>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</si>
  <si>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</si>
  <si>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</si>
  <si>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</si>
  <si>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</si>
  <si>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</si>
  <si>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</si>
  <si>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</si>
  <si>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</si>
  <si>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</si>
  <si>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</si>
  <si>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</si>
  <si>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</si>
  <si>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</si>
  <si>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</si>
  <si>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</si>
  <si>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</si>
  <si>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</si>
  <si>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</si>
  <si>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</si>
  <si>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</si>
  <si>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</si>
  <si>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</si>
  <si>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</si>
  <si>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</si>
  <si>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</si>
  <si>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</si>
  <si>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</si>
  <si>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</si>
  <si>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</si>
  <si>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</si>
  <si>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</si>
  <si>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</si>
  <si>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</si>
  <si>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</si>
  <si>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</si>
  <si>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</si>
  <si>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</si>
  <si>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</si>
  <si>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</si>
  <si>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</si>
  <si>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</si>
  <si>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</si>
  <si>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</si>
  <si>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</si>
  <si>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</si>
  <si>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</si>
  <si>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</si>
  <si>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</si>
  <si>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</si>
  <si>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</si>
  <si>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</si>
  <si>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</si>
  <si>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</si>
  <si>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</si>
  <si>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</si>
  <si>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</si>
  <si>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</si>
  <si>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</si>
  <si>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</si>
  <si>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</si>
  <si>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</si>
  <si>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</si>
  <si>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</si>
  <si>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</si>
  <si>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</si>
  <si>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</si>
  <si>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</si>
  <si>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</si>
  <si>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</si>
  <si>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</si>
  <si>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</si>
  <si>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</si>
  <si>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</si>
  <si>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</si>
  <si>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</si>
  <si>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</si>
  <si>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</si>
  <si>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</si>
  <si>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</si>
  <si>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</si>
  <si>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</si>
  <si>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</si>
  <si>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</si>
  <si>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</si>
  <si>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</si>
  <si>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</si>
  <si>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</si>
  <si>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</si>
  <si>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</si>
  <si>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</si>
  <si>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</si>
  <si>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</si>
  <si>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</si>
  <si>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</si>
  <si>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</si>
  <si>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</si>
  <si>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</si>
  <si>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</si>
  <si>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</si>
  <si>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</si>
  <si>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</si>
  <si>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</si>
  <si>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</si>
  <si>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</si>
  <si>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</si>
  <si>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</si>
  <si>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</si>
  <si>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</si>
  <si>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</si>
  <si>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</si>
  <si>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</si>
  <si>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</si>
  <si>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</si>
  <si>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</si>
  <si>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</si>
  <si>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</si>
  <si>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</si>
  <si>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</si>
  <si>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</si>
  <si>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</si>
  <si>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</si>
  <si>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</si>
  <si>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</si>
  <si>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</si>
  <si>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</si>
  <si>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</si>
  <si>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</si>
  <si>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</si>
  <si>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</si>
  <si>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</si>
  <si>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</si>
  <si>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</si>
  <si>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</si>
  <si>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</si>
  <si>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</si>
  <si>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</si>
  <si>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</si>
  <si>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</si>
  <si>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</si>
  <si>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</si>
  <si>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</si>
  <si>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</si>
  <si>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</si>
  <si>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</si>
  <si>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</si>
  <si>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</si>
  <si>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</si>
  <si>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</si>
  <si>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</si>
  <si>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</si>
  <si>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</si>
  <si>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</si>
  <si>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</si>
  <si>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</si>
  <si>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</si>
  <si>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</si>
  <si>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</si>
  <si>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</si>
  <si>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</si>
  <si>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</si>
  <si>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</si>
  <si>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</si>
  <si>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</si>
  <si>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</si>
  <si>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</si>
  <si>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</si>
  <si>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</si>
  <si>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</si>
  <si>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</si>
  <si>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</si>
  <si>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</si>
  <si>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</si>
  <si>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</si>
  <si>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</si>
  <si>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</si>
  <si>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</si>
  <si>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</si>
  <si>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</si>
  <si>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</si>
  <si>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</si>
  <si>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</si>
  <si>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</si>
  <si>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</si>
  <si>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</si>
  <si>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</si>
  <si>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</si>
  <si>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</si>
  <si>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</si>
  <si>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</si>
  <si>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</si>
  <si>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</si>
  <si>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</si>
  <si>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</si>
  <si>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</si>
  <si>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</si>
  <si>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</si>
  <si>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</si>
  <si>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</si>
  <si>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</si>
  <si>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</si>
  <si>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</si>
  <si>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</si>
  <si>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</si>
  <si>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</si>
  <si>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</si>
  <si>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</si>
  <si>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</si>
  <si>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</si>
  <si>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</si>
  <si>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</si>
  <si>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</si>
  <si>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</si>
  <si>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</si>
  <si>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</si>
  <si>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</si>
  <si>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</si>
  <si>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</si>
  <si>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</si>
  <si>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</si>
  <si>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</si>
  <si>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</si>
  <si>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</si>
  <si>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</si>
  <si>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</si>
  <si>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</si>
  <si>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</si>
  <si>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</si>
  <si>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</si>
  <si>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</si>
  <si>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</si>
  <si>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</si>
  <si>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</si>
  <si>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</si>
  <si>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</si>
  <si>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</si>
  <si>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</si>
  <si>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</si>
  <si>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</si>
  <si>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</si>
  <si>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</si>
  <si>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</si>
  <si>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</si>
  <si>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</si>
  <si>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</si>
  <si>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</si>
  <si>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</si>
  <si>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</si>
  <si>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</si>
  <si>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</si>
  <si>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</si>
  <si>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</si>
  <si>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</si>
  <si>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</si>
  <si>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</si>
  <si>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</si>
  <si>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</si>
  <si>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</si>
  <si>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</si>
  <si>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</si>
  <si>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</si>
  <si>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</si>
  <si>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</si>
  <si>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</si>
  <si>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</si>
  <si>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</si>
  <si>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</si>
  <si>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</si>
  <si>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</si>
  <si>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</si>
  <si>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</si>
  <si>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</si>
  <si>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</si>
  <si>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</si>
  <si>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</si>
  <si>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</si>
  <si>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</si>
  <si>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</si>
  <si>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</si>
  <si>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</si>
  <si>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</si>
  <si>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</si>
  <si>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</si>
  <si>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</si>
  <si>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</si>
  <si>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</si>
  <si>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</si>
  <si>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</si>
  <si>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</si>
  <si>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</si>
  <si>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</si>
  <si>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</si>
  <si>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</si>
  <si>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</si>
  <si>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</si>
  <si>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</si>
  <si>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</si>
  <si>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</si>
  <si>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</si>
  <si>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</si>
  <si>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</si>
  <si>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</si>
  <si>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</si>
  <si>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</si>
  <si>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</si>
  <si>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</si>
  <si>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</si>
  <si>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</si>
  <si>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</si>
  <si>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</si>
  <si>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</si>
  <si>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</si>
  <si>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</si>
  <si>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</si>
  <si>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</si>
  <si>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</si>
  <si>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</si>
  <si>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</si>
  <si>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</si>
  <si>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</si>
  <si>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</si>
  <si>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</si>
  <si>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</si>
  <si>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</si>
  <si>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</si>
  <si>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</si>
  <si>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</si>
  <si>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</si>
  <si>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</si>
  <si>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</si>
  <si>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</si>
  <si>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</si>
  <si>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</si>
  <si>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</si>
  <si>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</si>
  <si>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</si>
  <si>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</si>
  <si>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</si>
  <si>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</si>
  <si>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</si>
  <si>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</si>
  <si>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</si>
  <si>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</si>
  <si>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</si>
  <si>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</si>
  <si>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</si>
  <si>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</si>
  <si>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</si>
  <si>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</si>
  <si>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</si>
  <si>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</si>
  <si>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</si>
  <si>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</si>
  <si>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</si>
  <si>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</si>
  <si>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</si>
  <si>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</si>
  <si>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</si>
  <si>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</si>
  <si>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</si>
  <si>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</si>
  <si>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</si>
  <si>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</si>
  <si>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</si>
  <si>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</si>
  <si>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</si>
  <si>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</si>
  <si>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</si>
  <si>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</si>
  <si>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</si>
  <si>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</si>
  <si>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</si>
  <si>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</si>
  <si>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</si>
  <si>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</si>
  <si>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</si>
  <si>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</si>
  <si>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</si>
  <si>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</si>
  <si>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</si>
  <si>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</si>
  <si>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</si>
  <si>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</si>
  <si>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</si>
  <si>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</si>
  <si>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</si>
  <si>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</si>
  <si>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</si>
  <si>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</si>
  <si>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</si>
  <si>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</si>
  <si>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</si>
  <si>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</si>
  <si>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</si>
  <si>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</si>
  <si>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</si>
  <si>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</si>
  <si>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</si>
  <si>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</si>
  <si>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</si>
  <si>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</si>
  <si>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</si>
  <si>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</si>
  <si>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</si>
  <si>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</si>
  <si>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</si>
  <si>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</si>
  <si>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</si>
  <si>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</si>
  <si>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</si>
  <si>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</si>
  <si>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</si>
  <si>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</si>
  <si>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</si>
  <si>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</si>
  <si>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</si>
  <si>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</si>
  <si>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</si>
  <si>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</si>
  <si>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</si>
  <si>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</si>
  <si>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</si>
  <si>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</si>
  <si>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</si>
  <si>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</si>
  <si>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</si>
  <si>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</si>
  <si>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</si>
  <si>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</si>
  <si>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</si>
  <si>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</si>
  <si>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</si>
  <si>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</si>
  <si>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</si>
  <si>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</si>
  <si>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</si>
  <si>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</si>
  <si>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</si>
  <si>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</si>
  <si>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</si>
  <si>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</si>
  <si>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</si>
  <si>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</si>
  <si>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</si>
  <si>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</si>
  <si>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</si>
  <si>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</si>
  <si>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</si>
  <si>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</si>
  <si>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</si>
  <si>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</si>
  <si>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</si>
  <si>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</si>
  <si>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</si>
  <si>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</si>
  <si>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</si>
  <si>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</si>
  <si>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</si>
  <si>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</si>
  <si>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</si>
  <si>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</si>
  <si>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</si>
  <si>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</si>
  <si>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</si>
  <si>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</si>
  <si>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</si>
  <si>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</si>
  <si>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</si>
  <si>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</si>
  <si>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</si>
  <si>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</si>
  <si>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</si>
  <si>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</si>
  <si>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</si>
  <si>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</si>
  <si>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</si>
  <si>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</si>
  <si>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</si>
  <si>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</si>
  <si>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</si>
  <si>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</si>
  <si>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</si>
  <si>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</si>
  <si>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</si>
  <si>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</si>
  <si>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</si>
  <si>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</si>
  <si>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</si>
  <si>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</si>
  <si>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</si>
  <si>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</si>
  <si>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</si>
  <si>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</si>
  <si>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</si>
  <si>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</si>
  <si>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</si>
  <si>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</si>
  <si>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</si>
  <si>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</si>
  <si>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</si>
  <si>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</si>
  <si>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</si>
  <si>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</si>
  <si>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</si>
  <si>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</si>
  <si>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</si>
  <si>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</si>
  <si>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</si>
  <si>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</si>
  <si>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</si>
  <si>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</si>
  <si>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</si>
  <si>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</si>
  <si>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</si>
  <si>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</si>
  <si>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</si>
  <si>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</si>
  <si>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</si>
  <si>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</si>
  <si>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</si>
  <si>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</si>
  <si>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</si>
  <si>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</si>
  <si>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</si>
  <si>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</si>
  <si>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</si>
  <si>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</si>
  <si>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</si>
  <si>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</si>
  <si>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</si>
  <si>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</si>
  <si>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</si>
  <si>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</si>
  <si>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</si>
  <si>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</si>
  <si>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</si>
  <si>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</si>
  <si>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</si>
  <si>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</si>
  <si>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</si>
  <si>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</si>
  <si>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</si>
  <si>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</si>
  <si>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</si>
  <si>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</si>
  <si>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</si>
  <si>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</si>
  <si>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</si>
  <si>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</si>
  <si>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</si>
  <si>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</si>
  <si>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</si>
  <si>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</si>
  <si>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</si>
  <si>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</si>
  <si>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</si>
  <si>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</si>
  <si>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</si>
  <si>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</si>
  <si>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</si>
  <si>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</si>
  <si>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</si>
  <si>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</si>
  <si>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</si>
  <si>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</si>
  <si>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</si>
  <si>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</si>
  <si>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</si>
  <si>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</si>
  <si>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</si>
  <si>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</si>
  <si>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</si>
  <si>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</si>
  <si>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</si>
  <si>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</si>
  <si>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</si>
  <si>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</si>
  <si>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</si>
  <si>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</si>
  <si>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</si>
  <si>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</si>
  <si>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</si>
  <si>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</si>
  <si>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</si>
  <si>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</si>
  <si>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</si>
  <si>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</si>
  <si>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</si>
  <si>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</si>
  <si>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</si>
  <si>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</si>
  <si>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</si>
  <si>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</si>
  <si>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</si>
  <si>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</si>
  <si>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</si>
  <si>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</si>
  <si>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</si>
  <si>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</si>
  <si>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</si>
  <si>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</si>
  <si>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</si>
  <si>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</si>
  <si>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</si>
  <si>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</si>
  <si>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</si>
  <si>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</si>
  <si>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</si>
  <si>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</si>
  <si>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</si>
  <si>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</si>
  <si>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</si>
  <si>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</si>
  <si>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</si>
  <si>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</si>
  <si>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</si>
  <si>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</si>
  <si>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</si>
  <si>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</si>
  <si>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</si>
  <si>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</si>
  <si>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</si>
  <si>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</si>
  <si>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</si>
  <si>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</si>
  <si>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</si>
  <si>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</si>
  <si>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</si>
  <si>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</si>
  <si>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</si>
  <si>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</si>
  <si>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</si>
  <si>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</si>
  <si>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</si>
  <si>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</si>
  <si>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</si>
  <si>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</si>
  <si>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</si>
  <si>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</si>
  <si>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</si>
  <si>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</si>
  <si>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</si>
  <si>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ضرر خرید و فروش 20000 تا پارس 16/5 و 30/5</t>
  </si>
  <si>
    <t>وغدیر</t>
  </si>
  <si>
    <t>https://www.ifb.ir/MFI/khazaneList.aspx</t>
  </si>
  <si>
    <t>خرید از کارت سارا</t>
  </si>
  <si>
    <t xml:space="preserve">اضافه کردن تدریجی وغدیر 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</si>
  <si>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</si>
  <si>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</si>
  <si>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</si>
  <si>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</si>
  <si>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</si>
  <si>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</si>
  <si>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</si>
  <si>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</si>
  <si>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وغدیر 304937 تا 165.14</t>
  </si>
  <si>
    <t>پارس 5549 تا 3680</t>
  </si>
  <si>
    <t>دستی به مریم</t>
  </si>
  <si>
    <t>اصلاح فروش وغدیر و خرید پارس و پارس در 16/5</t>
  </si>
  <si>
    <t>سود نوسانگیری حاصل از فروش وغدیر و خرید پارس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</si>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</sst>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22" workbookViewId="0">
      <selection activeCell="C5" sqref="C5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4121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4118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4120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4133</v>
      </c>
      <c r="B4" s="18">
        <v>-35800</v>
      </c>
      <c r="C4" s="18">
        <v>0</v>
      </c>
      <c r="D4" s="119">
        <f t="shared" si="0"/>
        <v>-35800</v>
      </c>
      <c r="E4" s="105" t="s">
        <v>4012</v>
      </c>
      <c r="F4" s="102">
        <v>29</v>
      </c>
      <c r="G4" s="102">
        <f t="shared" si="1"/>
        <v>-1038200</v>
      </c>
      <c r="H4" s="102">
        <f t="shared" si="2"/>
        <v>0</v>
      </c>
      <c r="I4" s="102">
        <f t="shared" si="3"/>
        <v>-1038200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4132</v>
      </c>
      <c r="B5" s="18">
        <v>3600000</v>
      </c>
      <c r="C5" s="18">
        <v>0</v>
      </c>
      <c r="D5" s="119">
        <f t="shared" si="0"/>
        <v>3600000</v>
      </c>
      <c r="E5" s="20" t="s">
        <v>3930</v>
      </c>
      <c r="F5" s="102">
        <v>27</v>
      </c>
      <c r="G5" s="102">
        <f t="shared" si="1"/>
        <v>97200000</v>
      </c>
      <c r="H5" s="102">
        <f t="shared" si="2"/>
        <v>0</v>
      </c>
      <c r="I5" s="102">
        <f t="shared" si="3"/>
        <v>97200000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4090</v>
      </c>
      <c r="B6" s="18">
        <v>0</v>
      </c>
      <c r="C6" s="18">
        <v>0</v>
      </c>
      <c r="D6" s="119">
        <f t="shared" si="0"/>
        <v>0</v>
      </c>
      <c r="E6" s="19">
        <v>0</v>
      </c>
      <c r="F6" s="102">
        <v>0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4094</v>
      </c>
      <c r="B7" s="18">
        <v>0</v>
      </c>
      <c r="C7" s="18">
        <v>0</v>
      </c>
      <c r="D7" s="119">
        <f t="shared" si="0"/>
        <v>0</v>
      </c>
      <c r="E7" s="19">
        <v>0</v>
      </c>
      <c r="F7" s="102">
        <v>0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3724</v>
      </c>
      <c r="B8" s="18">
        <v>0</v>
      </c>
      <c r="C8" s="18">
        <v>0</v>
      </c>
      <c r="D8" s="119">
        <f t="shared" si="0"/>
        <v>0</v>
      </c>
      <c r="E8" s="19">
        <v>0</v>
      </c>
      <c r="F8" s="102">
        <v>0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4112</v>
      </c>
      <c r="B9" s="18">
        <v>0</v>
      </c>
      <c r="C9" s="18">
        <v>0</v>
      </c>
      <c r="D9" s="119">
        <f t="shared" si="0"/>
        <v>0</v>
      </c>
      <c r="E9" s="21">
        <v>0</v>
      </c>
      <c r="F9" s="102">
        <v>0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4110</v>
      </c>
      <c r="B10" s="18">
        <v>0</v>
      </c>
      <c r="C10" s="18">
        <v>0</v>
      </c>
      <c r="D10" s="119">
        <f t="shared" si="0"/>
        <v>0</v>
      </c>
      <c r="E10" s="19"/>
      <c r="F10" s="102">
        <v>0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0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0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0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0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9924451</v>
      </c>
      <c r="C24" s="119">
        <f>SUM(C2:C22)</f>
        <v>7835443</v>
      </c>
      <c r="D24" s="119">
        <f>SUM(D2:D22)</f>
        <v>2089008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290329581</v>
      </c>
      <c r="H25" s="18">
        <f>SUM(H2:H23)</f>
        <v>242898733</v>
      </c>
      <c r="I25" s="18">
        <f>SUM(I2:I23)</f>
        <v>47430848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-6701772</v>
      </c>
      <c r="E30" s="41" t="s">
        <v>95</v>
      </c>
      <c r="F30" s="102"/>
      <c r="G30" s="18">
        <v>600</v>
      </c>
      <c r="H30" s="18">
        <f>G30*H25/G25</f>
        <v>501.97861099107223</v>
      </c>
      <c r="I30" s="18">
        <f>G30*I25/G25</f>
        <v>98.021389008927756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4122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-80000</v>
      </c>
      <c r="E32" s="41" t="s">
        <v>4128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-1430500</v>
      </c>
      <c r="E33" s="41" t="s">
        <v>4129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-240464</v>
      </c>
      <c r="E34" s="41" t="s">
        <v>4130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x14ac:dyDescent="0.25">
      <c r="A35" s="102"/>
      <c r="B35" s="102"/>
      <c r="C35" s="102"/>
      <c r="D35" s="42">
        <v>-3600000</v>
      </c>
      <c r="E35" s="41" t="s">
        <v>4131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42">
        <v>0</v>
      </c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 t="s">
        <v>25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20">
        <f>SUM(D30:D56)</f>
        <v>-11238636</v>
      </c>
      <c r="E59" s="102" t="s">
        <v>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D62" s="102"/>
      <c r="E62" s="102" t="s">
        <v>25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3" activePane="bottomLeft" state="frozen"/>
      <selection pane="bottomLeft" activeCell="B183" sqref="B18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868</v>
      </c>
      <c r="H2" s="36">
        <f>IF(B2&gt;0,1,0)</f>
        <v>1</v>
      </c>
      <c r="I2" s="11">
        <f>B2*(G2-H2)</f>
        <v>14478900</v>
      </c>
      <c r="J2" s="53">
        <f>C2*(G2-H2)</f>
        <v>14478900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867</v>
      </c>
      <c r="H3" s="36">
        <f t="shared" ref="H3:H66" si="2">IF(B3&gt;0,1,0)</f>
        <v>1</v>
      </c>
      <c r="I3" s="11">
        <f t="shared" ref="I3:I66" si="3">B3*(G3-H3)</f>
        <v>17233400000</v>
      </c>
      <c r="J3" s="53">
        <f t="shared" ref="J3:J66" si="4">C3*(G3-H3)</f>
        <v>9861142000</v>
      </c>
      <c r="K3" s="53">
        <f t="shared" ref="K3:K66" si="5">D3*(G3-H3)</f>
        <v>7372258000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867</v>
      </c>
      <c r="H4" s="36">
        <f t="shared" si="2"/>
        <v>0</v>
      </c>
      <c r="I4" s="11">
        <f t="shared" si="3"/>
        <v>0</v>
      </c>
      <c r="J4" s="53">
        <f t="shared" si="4"/>
        <v>7369500</v>
      </c>
      <c r="K4" s="53">
        <f t="shared" si="5"/>
        <v>-7369500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865</v>
      </c>
      <c r="H5" s="36">
        <f t="shared" si="2"/>
        <v>1</v>
      </c>
      <c r="I5" s="11">
        <f t="shared" si="3"/>
        <v>1728000000</v>
      </c>
      <c r="J5" s="53">
        <f t="shared" si="4"/>
        <v>0</v>
      </c>
      <c r="K5" s="53">
        <f t="shared" si="5"/>
        <v>1728000000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858</v>
      </c>
      <c r="H6" s="36">
        <f t="shared" si="2"/>
        <v>0</v>
      </c>
      <c r="I6" s="11">
        <f t="shared" si="3"/>
        <v>-4290000</v>
      </c>
      <c r="J6" s="53">
        <f t="shared" si="4"/>
        <v>0</v>
      </c>
      <c r="K6" s="53">
        <f t="shared" si="5"/>
        <v>-4290000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854</v>
      </c>
      <c r="H7" s="36">
        <f t="shared" si="2"/>
        <v>0</v>
      </c>
      <c r="I7" s="11">
        <f t="shared" si="3"/>
        <v>-1025227000</v>
      </c>
      <c r="J7" s="53">
        <f t="shared" si="4"/>
        <v>0</v>
      </c>
      <c r="K7" s="53">
        <f t="shared" si="5"/>
        <v>-1025227000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853</v>
      </c>
      <c r="H8" s="36">
        <f t="shared" si="2"/>
        <v>0</v>
      </c>
      <c r="I8" s="11">
        <f t="shared" si="3"/>
        <v>-170600000</v>
      </c>
      <c r="J8" s="53">
        <f t="shared" si="4"/>
        <v>0</v>
      </c>
      <c r="K8" s="53">
        <f t="shared" si="5"/>
        <v>-170600000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851</v>
      </c>
      <c r="H9" s="36">
        <f t="shared" si="2"/>
        <v>0</v>
      </c>
      <c r="I9" s="11">
        <f t="shared" si="3"/>
        <v>-600380500</v>
      </c>
      <c r="J9" s="53">
        <f t="shared" si="4"/>
        <v>0</v>
      </c>
      <c r="K9" s="53">
        <f t="shared" si="5"/>
        <v>-600380500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842</v>
      </c>
      <c r="H10" s="36">
        <f t="shared" si="2"/>
        <v>0</v>
      </c>
      <c r="I10" s="11">
        <f t="shared" si="3"/>
        <v>-168400000</v>
      </c>
      <c r="J10" s="53">
        <f t="shared" si="4"/>
        <v>0</v>
      </c>
      <c r="K10" s="53">
        <f t="shared" si="5"/>
        <v>-168400000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842</v>
      </c>
      <c r="H11" s="36">
        <f t="shared" si="2"/>
        <v>1</v>
      </c>
      <c r="I11" s="11">
        <f t="shared" si="3"/>
        <v>841000000</v>
      </c>
      <c r="J11" s="53">
        <f t="shared" si="4"/>
        <v>0</v>
      </c>
      <c r="K11" s="53">
        <f t="shared" si="5"/>
        <v>841000000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838</v>
      </c>
      <c r="H12" s="36">
        <f t="shared" si="2"/>
        <v>0</v>
      </c>
      <c r="I12" s="11">
        <f t="shared" si="3"/>
        <v>-251400000</v>
      </c>
      <c r="J12" s="53">
        <f t="shared" si="4"/>
        <v>0</v>
      </c>
      <c r="K12" s="53">
        <f t="shared" si="5"/>
        <v>-251400000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833</v>
      </c>
      <c r="H13" s="36">
        <f t="shared" si="2"/>
        <v>0</v>
      </c>
      <c r="I13" s="11">
        <f t="shared" si="3"/>
        <v>-51646000</v>
      </c>
      <c r="J13" s="53">
        <f t="shared" si="4"/>
        <v>0</v>
      </c>
      <c r="K13" s="53">
        <f t="shared" si="5"/>
        <v>-51646000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833</v>
      </c>
      <c r="H14" s="36">
        <f t="shared" si="2"/>
        <v>1</v>
      </c>
      <c r="I14" s="11">
        <f t="shared" si="3"/>
        <v>1664000000</v>
      </c>
      <c r="J14" s="53">
        <f t="shared" si="4"/>
        <v>0</v>
      </c>
      <c r="K14" s="53">
        <f t="shared" si="5"/>
        <v>1664000000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832</v>
      </c>
      <c r="H15" s="36">
        <f t="shared" si="2"/>
        <v>1</v>
      </c>
      <c r="I15" s="11">
        <f t="shared" si="3"/>
        <v>1495800000</v>
      </c>
      <c r="J15" s="53">
        <f t="shared" si="4"/>
        <v>0</v>
      </c>
      <c r="K15" s="53">
        <f t="shared" si="5"/>
        <v>1495800000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832</v>
      </c>
      <c r="H16" s="36">
        <f t="shared" si="2"/>
        <v>0</v>
      </c>
      <c r="I16" s="11">
        <f t="shared" si="3"/>
        <v>-166400000</v>
      </c>
      <c r="J16" s="53">
        <f t="shared" si="4"/>
        <v>0</v>
      </c>
      <c r="K16" s="53">
        <f t="shared" si="5"/>
        <v>-166400000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828</v>
      </c>
      <c r="H17" s="36">
        <f t="shared" si="2"/>
        <v>0</v>
      </c>
      <c r="I17" s="11">
        <f t="shared" si="3"/>
        <v>-1656000000</v>
      </c>
      <c r="J17" s="53">
        <f t="shared" si="4"/>
        <v>0</v>
      </c>
      <c r="K17" s="53">
        <f t="shared" si="5"/>
        <v>-1656000000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827</v>
      </c>
      <c r="H18" s="36">
        <f t="shared" si="2"/>
        <v>0</v>
      </c>
      <c r="I18" s="11">
        <f t="shared" si="3"/>
        <v>-248100000</v>
      </c>
      <c r="J18" s="53">
        <f t="shared" si="4"/>
        <v>0</v>
      </c>
      <c r="K18" s="53">
        <f t="shared" si="5"/>
        <v>-248100000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826</v>
      </c>
      <c r="H19" s="36">
        <f t="shared" si="2"/>
        <v>0</v>
      </c>
      <c r="I19" s="11">
        <f t="shared" si="3"/>
        <v>-165200000</v>
      </c>
      <c r="J19" s="53">
        <f t="shared" si="4"/>
        <v>0</v>
      </c>
      <c r="K19" s="53">
        <f t="shared" si="5"/>
        <v>-165200000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824</v>
      </c>
      <c r="H20" s="36">
        <f t="shared" si="2"/>
        <v>1</v>
      </c>
      <c r="I20" s="11">
        <f t="shared" si="3"/>
        <v>223106247</v>
      </c>
      <c r="J20" s="53">
        <f t="shared" si="4"/>
        <v>121352996</v>
      </c>
      <c r="K20" s="53">
        <f t="shared" si="5"/>
        <v>101753251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822</v>
      </c>
      <c r="H21" s="36">
        <f t="shared" si="2"/>
        <v>0</v>
      </c>
      <c r="I21" s="11">
        <f t="shared" si="3"/>
        <v>-1237685400</v>
      </c>
      <c r="J21" s="53">
        <f t="shared" si="4"/>
        <v>0</v>
      </c>
      <c r="K21" s="53">
        <f t="shared" si="5"/>
        <v>-1237685400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819</v>
      </c>
      <c r="H22" s="36">
        <f t="shared" si="2"/>
        <v>1</v>
      </c>
      <c r="I22" s="11">
        <f t="shared" si="3"/>
        <v>2454000000</v>
      </c>
      <c r="J22" s="53">
        <f t="shared" si="4"/>
        <v>0</v>
      </c>
      <c r="K22" s="53">
        <f t="shared" si="5"/>
        <v>2454000000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818</v>
      </c>
      <c r="H23" s="36">
        <f t="shared" si="2"/>
        <v>1</v>
      </c>
      <c r="I23" s="11">
        <f t="shared" si="3"/>
        <v>817000000</v>
      </c>
      <c r="J23" s="53">
        <f t="shared" si="4"/>
        <v>0</v>
      </c>
      <c r="K23" s="53">
        <f t="shared" si="5"/>
        <v>817000000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817</v>
      </c>
      <c r="H24" s="36">
        <f t="shared" si="2"/>
        <v>0</v>
      </c>
      <c r="I24" s="11">
        <f t="shared" si="3"/>
        <v>-2451735300</v>
      </c>
      <c r="J24" s="53">
        <f t="shared" si="4"/>
        <v>0</v>
      </c>
      <c r="K24" s="53">
        <f t="shared" si="5"/>
        <v>-2451735300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802</v>
      </c>
      <c r="H25" s="36">
        <f t="shared" si="2"/>
        <v>1</v>
      </c>
      <c r="I25" s="11">
        <f t="shared" si="3"/>
        <v>1201500000</v>
      </c>
      <c r="J25" s="53">
        <f t="shared" si="4"/>
        <v>0</v>
      </c>
      <c r="K25" s="53">
        <f t="shared" si="5"/>
        <v>1201500000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794</v>
      </c>
      <c r="H26" s="36">
        <f t="shared" si="2"/>
        <v>0</v>
      </c>
      <c r="I26" s="11">
        <f t="shared" si="3"/>
        <v>-130216000</v>
      </c>
      <c r="J26" s="53">
        <f t="shared" si="4"/>
        <v>0</v>
      </c>
      <c r="K26" s="53">
        <f t="shared" si="5"/>
        <v>-130216000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793</v>
      </c>
      <c r="H27" s="36">
        <f t="shared" si="2"/>
        <v>1</v>
      </c>
      <c r="I27" s="11">
        <f t="shared" si="3"/>
        <v>157919256</v>
      </c>
      <c r="J27" s="53">
        <f t="shared" si="4"/>
        <v>85071096</v>
      </c>
      <c r="K27" s="53">
        <f t="shared" si="5"/>
        <v>72848160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791</v>
      </c>
      <c r="H28" s="36">
        <f t="shared" si="2"/>
        <v>0</v>
      </c>
      <c r="I28" s="11">
        <f t="shared" si="3"/>
        <v>-174811000</v>
      </c>
      <c r="J28" s="53">
        <f t="shared" si="4"/>
        <v>-174811000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791</v>
      </c>
      <c r="H29" s="36">
        <f t="shared" si="2"/>
        <v>0</v>
      </c>
      <c r="I29" s="11">
        <f t="shared" si="3"/>
        <v>-395895500</v>
      </c>
      <c r="J29" s="53">
        <f t="shared" si="4"/>
        <v>0</v>
      </c>
      <c r="K29" s="53">
        <f t="shared" si="5"/>
        <v>-395895500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791</v>
      </c>
      <c r="H30" s="36">
        <f t="shared" si="2"/>
        <v>0</v>
      </c>
      <c r="I30" s="11">
        <f t="shared" si="3"/>
        <v>-11865000000</v>
      </c>
      <c r="J30" s="53">
        <f t="shared" si="4"/>
        <v>-11865000000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774</v>
      </c>
      <c r="H31" s="36">
        <f t="shared" si="2"/>
        <v>0</v>
      </c>
      <c r="I31" s="11">
        <f t="shared" si="3"/>
        <v>-2330436600</v>
      </c>
      <c r="J31" s="53">
        <f t="shared" si="4"/>
        <v>0</v>
      </c>
      <c r="K31" s="53">
        <f t="shared" si="5"/>
        <v>-2330436600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772</v>
      </c>
      <c r="H32" s="36">
        <f t="shared" si="2"/>
        <v>0</v>
      </c>
      <c r="I32" s="11">
        <f t="shared" si="3"/>
        <v>-2320554800</v>
      </c>
      <c r="J32" s="53">
        <f t="shared" si="4"/>
        <v>0</v>
      </c>
      <c r="K32" s="53">
        <f t="shared" si="5"/>
        <v>-2320554800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771</v>
      </c>
      <c r="H33" s="36">
        <f t="shared" si="2"/>
        <v>0</v>
      </c>
      <c r="I33" s="11">
        <f t="shared" si="3"/>
        <v>-690430500</v>
      </c>
      <c r="J33" s="53">
        <f t="shared" si="4"/>
        <v>0</v>
      </c>
      <c r="K33" s="53">
        <f t="shared" si="5"/>
        <v>-690430500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771</v>
      </c>
      <c r="H34" s="36">
        <f t="shared" si="2"/>
        <v>0</v>
      </c>
      <c r="I34" s="11">
        <f t="shared" si="3"/>
        <v>0</v>
      </c>
      <c r="J34" s="53">
        <f t="shared" si="4"/>
        <v>771000000</v>
      </c>
      <c r="K34" s="53">
        <f t="shared" si="5"/>
        <v>-771000000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762</v>
      </c>
      <c r="H35" s="36">
        <f t="shared" si="2"/>
        <v>1</v>
      </c>
      <c r="I35" s="11">
        <f t="shared" si="3"/>
        <v>39931192</v>
      </c>
      <c r="J35" s="53">
        <f t="shared" si="4"/>
        <v>-16485543</v>
      </c>
      <c r="K35" s="53">
        <f t="shared" si="5"/>
        <v>56416735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762</v>
      </c>
      <c r="H36" s="36">
        <f t="shared" si="2"/>
        <v>0</v>
      </c>
      <c r="I36" s="11">
        <f t="shared" si="3"/>
        <v>0</v>
      </c>
      <c r="J36" s="53">
        <f t="shared" si="4"/>
        <v>16507206</v>
      </c>
      <c r="K36" s="53">
        <f t="shared" si="5"/>
        <v>-16507206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752</v>
      </c>
      <c r="H37" s="36">
        <f t="shared" si="2"/>
        <v>0</v>
      </c>
      <c r="I37" s="11">
        <f t="shared" si="3"/>
        <v>-41360000</v>
      </c>
      <c r="J37" s="53">
        <f t="shared" si="4"/>
        <v>0</v>
      </c>
      <c r="K37" s="53">
        <f t="shared" si="5"/>
        <v>-41360000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751</v>
      </c>
      <c r="H38" s="36">
        <f t="shared" si="2"/>
        <v>1</v>
      </c>
      <c r="I38" s="11">
        <f t="shared" si="3"/>
        <v>2250000000</v>
      </c>
      <c r="J38" s="53">
        <f t="shared" si="4"/>
        <v>2250000000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750</v>
      </c>
      <c r="H39" s="36">
        <f t="shared" si="2"/>
        <v>1</v>
      </c>
      <c r="I39" s="11">
        <f t="shared" si="3"/>
        <v>1872500000</v>
      </c>
      <c r="J39" s="53">
        <f t="shared" si="4"/>
        <v>1872500000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750</v>
      </c>
      <c r="H40" s="36">
        <f t="shared" si="2"/>
        <v>0</v>
      </c>
      <c r="I40" s="11">
        <f t="shared" si="3"/>
        <v>-37500000</v>
      </c>
      <c r="J40" s="53">
        <f t="shared" si="4"/>
        <v>0</v>
      </c>
      <c r="K40" s="53">
        <f t="shared" si="5"/>
        <v>-37500000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750</v>
      </c>
      <c r="H41" s="36">
        <f t="shared" si="2"/>
        <v>1</v>
      </c>
      <c r="I41" s="11">
        <f t="shared" si="3"/>
        <v>2247000000</v>
      </c>
      <c r="J41" s="53">
        <f t="shared" si="4"/>
        <v>0</v>
      </c>
      <c r="K41" s="53">
        <f t="shared" si="5"/>
        <v>2247000000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747</v>
      </c>
      <c r="H42" s="36">
        <f t="shared" si="2"/>
        <v>0</v>
      </c>
      <c r="I42" s="11">
        <f t="shared" si="3"/>
        <v>-66632400</v>
      </c>
      <c r="J42" s="53">
        <f t="shared" si="4"/>
        <v>0</v>
      </c>
      <c r="K42" s="53">
        <f t="shared" si="5"/>
        <v>-66632400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743</v>
      </c>
      <c r="H43" s="36">
        <f t="shared" si="2"/>
        <v>0</v>
      </c>
      <c r="I43" s="11">
        <f t="shared" si="3"/>
        <v>-148600000</v>
      </c>
      <c r="J43" s="53">
        <f t="shared" si="4"/>
        <v>0</v>
      </c>
      <c r="K43" s="53">
        <f t="shared" si="5"/>
        <v>-148600000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741</v>
      </c>
      <c r="H44" s="36">
        <f t="shared" si="2"/>
        <v>0</v>
      </c>
      <c r="I44" s="11">
        <f t="shared" si="3"/>
        <v>-148200000</v>
      </c>
      <c r="J44" s="53">
        <f t="shared" si="4"/>
        <v>0</v>
      </c>
      <c r="K44" s="53">
        <f t="shared" si="5"/>
        <v>-148200000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741</v>
      </c>
      <c r="H45" s="36">
        <f t="shared" si="2"/>
        <v>0</v>
      </c>
      <c r="I45" s="11">
        <f t="shared" si="3"/>
        <v>-414960000</v>
      </c>
      <c r="J45" s="53">
        <f t="shared" si="4"/>
        <v>0</v>
      </c>
      <c r="K45" s="53">
        <f t="shared" si="5"/>
        <v>-414960000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737</v>
      </c>
      <c r="H46" s="36">
        <f t="shared" si="2"/>
        <v>0</v>
      </c>
      <c r="I46" s="11">
        <f t="shared" si="3"/>
        <v>-519953500</v>
      </c>
      <c r="J46" s="53">
        <f t="shared" si="4"/>
        <v>0</v>
      </c>
      <c r="K46" s="53">
        <f t="shared" si="5"/>
        <v>-519953500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731</v>
      </c>
      <c r="H47" s="36">
        <f t="shared" si="2"/>
        <v>1</v>
      </c>
      <c r="I47" s="11">
        <f t="shared" si="3"/>
        <v>30078920</v>
      </c>
      <c r="J47" s="53">
        <f t="shared" si="4"/>
        <v>4900490</v>
      </c>
      <c r="K47" s="53">
        <f t="shared" si="5"/>
        <v>25178430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731</v>
      </c>
      <c r="H48" s="36">
        <f t="shared" si="2"/>
        <v>1</v>
      </c>
      <c r="I48" s="11">
        <f t="shared" si="3"/>
        <v>1244431000</v>
      </c>
      <c r="J48" s="53">
        <f t="shared" si="4"/>
        <v>0</v>
      </c>
      <c r="K48" s="53">
        <f t="shared" si="5"/>
        <v>1244431000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722</v>
      </c>
      <c r="H49" s="36">
        <f t="shared" si="2"/>
        <v>0</v>
      </c>
      <c r="I49" s="11">
        <f t="shared" si="3"/>
        <v>-111910000</v>
      </c>
      <c r="J49" s="53">
        <f t="shared" si="4"/>
        <v>0</v>
      </c>
      <c r="K49" s="53">
        <f t="shared" si="5"/>
        <v>-111910000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722</v>
      </c>
      <c r="H50" s="36">
        <f t="shared" si="2"/>
        <v>0</v>
      </c>
      <c r="I50" s="11">
        <f t="shared" si="3"/>
        <v>-99636000</v>
      </c>
      <c r="J50" s="53">
        <f t="shared" si="4"/>
        <v>0</v>
      </c>
      <c r="K50" s="53">
        <f t="shared" si="5"/>
        <v>-99636000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722</v>
      </c>
      <c r="H51" s="36">
        <f t="shared" si="2"/>
        <v>0</v>
      </c>
      <c r="I51" s="11">
        <f t="shared" si="3"/>
        <v>-534280000</v>
      </c>
      <c r="J51" s="53">
        <f t="shared" si="4"/>
        <v>0</v>
      </c>
      <c r="K51" s="53">
        <f t="shared" si="5"/>
        <v>-534280000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722</v>
      </c>
      <c r="H52" s="36">
        <f t="shared" si="2"/>
        <v>0</v>
      </c>
      <c r="I52" s="11">
        <f t="shared" si="3"/>
        <v>-144400000</v>
      </c>
      <c r="J52" s="53">
        <f t="shared" si="4"/>
        <v>0</v>
      </c>
      <c r="K52" s="53">
        <f t="shared" si="5"/>
        <v>-144400000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721</v>
      </c>
      <c r="H53" s="36">
        <f t="shared" si="2"/>
        <v>0</v>
      </c>
      <c r="I53" s="11">
        <f t="shared" si="3"/>
        <v>-760655000</v>
      </c>
      <c r="J53" s="53">
        <f t="shared" si="4"/>
        <v>0</v>
      </c>
      <c r="K53" s="53">
        <f t="shared" si="5"/>
        <v>-760655000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721</v>
      </c>
      <c r="H54" s="36">
        <f t="shared" si="2"/>
        <v>0</v>
      </c>
      <c r="I54" s="11">
        <f t="shared" si="3"/>
        <v>-144200000</v>
      </c>
      <c r="J54" s="53">
        <f t="shared" si="4"/>
        <v>0</v>
      </c>
      <c r="K54" s="53">
        <f t="shared" si="5"/>
        <v>-144200000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721</v>
      </c>
      <c r="H55" s="36">
        <f t="shared" si="2"/>
        <v>0</v>
      </c>
      <c r="I55" s="11">
        <f t="shared" si="3"/>
        <v>-721360500</v>
      </c>
      <c r="J55" s="53">
        <f t="shared" si="4"/>
        <v>0</v>
      </c>
      <c r="K55" s="53">
        <f t="shared" si="5"/>
        <v>-721360500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721</v>
      </c>
      <c r="H56" s="36">
        <f t="shared" si="2"/>
        <v>0</v>
      </c>
      <c r="I56" s="11">
        <f t="shared" si="3"/>
        <v>-27398000</v>
      </c>
      <c r="J56" s="53">
        <f t="shared" si="4"/>
        <v>0</v>
      </c>
      <c r="K56" s="53">
        <f t="shared" si="5"/>
        <v>-27398000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721</v>
      </c>
      <c r="H57" s="36">
        <f t="shared" si="2"/>
        <v>0</v>
      </c>
      <c r="I57" s="11">
        <f t="shared" si="3"/>
        <v>-75705000</v>
      </c>
      <c r="J57" s="53">
        <f t="shared" si="4"/>
        <v>0</v>
      </c>
      <c r="K57" s="53">
        <f t="shared" si="5"/>
        <v>-75705000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721</v>
      </c>
      <c r="H58" s="36">
        <f t="shared" si="2"/>
        <v>0</v>
      </c>
      <c r="I58" s="11">
        <f t="shared" si="3"/>
        <v>-43260000</v>
      </c>
      <c r="J58" s="53">
        <f t="shared" si="4"/>
        <v>0</v>
      </c>
      <c r="K58" s="53">
        <f t="shared" si="5"/>
        <v>-43260000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718</v>
      </c>
      <c r="H59" s="36">
        <f t="shared" si="2"/>
        <v>1</v>
      </c>
      <c r="I59" s="11">
        <f t="shared" si="3"/>
        <v>717000000</v>
      </c>
      <c r="J59" s="53">
        <f t="shared" si="4"/>
        <v>717000000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717</v>
      </c>
      <c r="H60" s="36">
        <f t="shared" si="2"/>
        <v>1</v>
      </c>
      <c r="I60" s="11">
        <f t="shared" si="3"/>
        <v>2506000000</v>
      </c>
      <c r="J60" s="53">
        <f t="shared" si="4"/>
        <v>2506000000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715</v>
      </c>
      <c r="H61" s="36">
        <f t="shared" si="2"/>
        <v>1</v>
      </c>
      <c r="I61" s="11">
        <f t="shared" si="3"/>
        <v>714000000</v>
      </c>
      <c r="J61" s="53">
        <f t="shared" si="4"/>
        <v>714000000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715</v>
      </c>
      <c r="H62" s="36">
        <f t="shared" si="2"/>
        <v>1</v>
      </c>
      <c r="I62" s="11">
        <f t="shared" si="3"/>
        <v>2142000000</v>
      </c>
      <c r="J62" s="53">
        <f t="shared" si="4"/>
        <v>2142000000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713</v>
      </c>
      <c r="H63" s="36">
        <f t="shared" si="2"/>
        <v>0</v>
      </c>
      <c r="I63" s="11">
        <f t="shared" si="3"/>
        <v>-142600000</v>
      </c>
      <c r="J63" s="53">
        <f t="shared" si="4"/>
        <v>0</v>
      </c>
      <c r="K63" s="53">
        <f t="shared" si="5"/>
        <v>-142600000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708</v>
      </c>
      <c r="H64" s="36">
        <f t="shared" si="2"/>
        <v>0</v>
      </c>
      <c r="I64" s="11">
        <f t="shared" si="3"/>
        <v>-35400000</v>
      </c>
      <c r="J64" s="53">
        <f t="shared" si="4"/>
        <v>0</v>
      </c>
      <c r="K64" s="53">
        <f t="shared" si="5"/>
        <v>-35400000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704</v>
      </c>
      <c r="H65" s="36">
        <f t="shared" si="2"/>
        <v>0</v>
      </c>
      <c r="I65" s="11">
        <f t="shared" si="3"/>
        <v>-140800000</v>
      </c>
      <c r="J65" s="53">
        <f t="shared" si="4"/>
        <v>0</v>
      </c>
      <c r="K65" s="53">
        <f t="shared" si="5"/>
        <v>-140800000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701</v>
      </c>
      <c r="H66" s="36">
        <f t="shared" si="2"/>
        <v>0</v>
      </c>
      <c r="I66" s="11">
        <f t="shared" si="3"/>
        <v>-119170000</v>
      </c>
      <c r="J66" s="53">
        <f t="shared" si="4"/>
        <v>0</v>
      </c>
      <c r="K66" s="53">
        <f t="shared" si="5"/>
        <v>-119170000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700</v>
      </c>
      <c r="H67" s="36">
        <f t="shared" ref="H67:H131" si="8">IF(B67&gt;0,1,0)</f>
        <v>1</v>
      </c>
      <c r="I67" s="11">
        <f t="shared" ref="I67:I119" si="9">B67*(G67-H67)</f>
        <v>63836175</v>
      </c>
      <c r="J67" s="53">
        <f t="shared" ref="J67:J131" si="10">C67*(G67-H67)</f>
        <v>45940377</v>
      </c>
      <c r="K67" s="53">
        <f t="shared" ref="K67:K131" si="11">D67*(G67-H67)</f>
        <v>17895798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682</v>
      </c>
      <c r="H68" s="36">
        <f t="shared" si="8"/>
        <v>0</v>
      </c>
      <c r="I68" s="11">
        <f t="shared" si="9"/>
        <v>-98890000</v>
      </c>
      <c r="J68" s="53">
        <f t="shared" si="10"/>
        <v>0</v>
      </c>
      <c r="K68" s="53">
        <f t="shared" si="11"/>
        <v>-98890000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675</v>
      </c>
      <c r="H69" s="36">
        <f t="shared" si="8"/>
        <v>1</v>
      </c>
      <c r="I69" s="11">
        <f t="shared" si="9"/>
        <v>660520000</v>
      </c>
      <c r="J69" s="53">
        <f t="shared" si="10"/>
        <v>0</v>
      </c>
      <c r="K69" s="53">
        <f t="shared" si="11"/>
        <v>660520000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672</v>
      </c>
      <c r="H70" s="36">
        <f t="shared" si="8"/>
        <v>0</v>
      </c>
      <c r="I70" s="11">
        <f t="shared" si="9"/>
        <v>-30912000</v>
      </c>
      <c r="J70" s="53">
        <f t="shared" si="10"/>
        <v>0</v>
      </c>
      <c r="K70" s="53">
        <f t="shared" si="11"/>
        <v>-30912000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670</v>
      </c>
      <c r="H71" s="36">
        <f t="shared" si="8"/>
        <v>1</v>
      </c>
      <c r="I71" s="11">
        <f t="shared" si="9"/>
        <v>77161122</v>
      </c>
      <c r="J71" s="53">
        <f t="shared" si="10"/>
        <v>69450228</v>
      </c>
      <c r="K71" s="53">
        <f t="shared" si="11"/>
        <v>7710894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669</v>
      </c>
      <c r="H72" s="36">
        <f t="shared" si="8"/>
        <v>0</v>
      </c>
      <c r="I72" s="11">
        <f t="shared" si="9"/>
        <v>-101667261</v>
      </c>
      <c r="J72" s="53">
        <f t="shared" si="10"/>
        <v>0</v>
      </c>
      <c r="K72" s="53">
        <f t="shared" si="11"/>
        <v>-101667261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668</v>
      </c>
      <c r="H73" s="36">
        <f t="shared" si="8"/>
        <v>0</v>
      </c>
      <c r="I73" s="11">
        <f t="shared" si="9"/>
        <v>-538074000</v>
      </c>
      <c r="J73" s="53">
        <f t="shared" si="10"/>
        <v>0</v>
      </c>
      <c r="K73" s="53">
        <f t="shared" si="11"/>
        <v>-538074000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661</v>
      </c>
      <c r="H74" s="36">
        <f t="shared" si="8"/>
        <v>1</v>
      </c>
      <c r="I74" s="11">
        <f t="shared" si="9"/>
        <v>4616700000</v>
      </c>
      <c r="J74" s="53">
        <f t="shared" si="10"/>
        <v>0</v>
      </c>
      <c r="K74" s="53">
        <f t="shared" si="11"/>
        <v>4616700000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660</v>
      </c>
      <c r="H75" s="36">
        <f t="shared" si="8"/>
        <v>1</v>
      </c>
      <c r="I75" s="11">
        <f t="shared" si="9"/>
        <v>1977000000</v>
      </c>
      <c r="J75" s="53">
        <f t="shared" si="10"/>
        <v>0</v>
      </c>
      <c r="K75" s="53">
        <f t="shared" si="11"/>
        <v>1977000000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658</v>
      </c>
      <c r="H76" s="36">
        <f t="shared" si="8"/>
        <v>1</v>
      </c>
      <c r="I76" s="11">
        <f t="shared" si="9"/>
        <v>1971000000</v>
      </c>
      <c r="J76" s="53">
        <f t="shared" si="10"/>
        <v>0</v>
      </c>
      <c r="K76" s="53">
        <f t="shared" si="11"/>
        <v>1971000000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657</v>
      </c>
      <c r="H77" s="36">
        <f t="shared" si="8"/>
        <v>1</v>
      </c>
      <c r="I77" s="11">
        <f t="shared" si="9"/>
        <v>1968000000</v>
      </c>
      <c r="J77" s="53">
        <f t="shared" si="10"/>
        <v>0</v>
      </c>
      <c r="K77" s="53">
        <f t="shared" si="11"/>
        <v>1968000000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656</v>
      </c>
      <c r="H78" s="36">
        <f t="shared" si="8"/>
        <v>0</v>
      </c>
      <c r="I78" s="11">
        <f t="shared" si="9"/>
        <v>-2099200000</v>
      </c>
      <c r="J78" s="53">
        <f t="shared" si="10"/>
        <v>-2099200000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655</v>
      </c>
      <c r="H79" s="36">
        <f t="shared" si="8"/>
        <v>0</v>
      </c>
      <c r="I79" s="11">
        <f t="shared" si="9"/>
        <v>-524000000</v>
      </c>
      <c r="J79" s="53">
        <f t="shared" si="10"/>
        <v>-524000000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654</v>
      </c>
      <c r="H80" s="36">
        <f t="shared" si="8"/>
        <v>0</v>
      </c>
      <c r="I80" s="11">
        <f t="shared" si="9"/>
        <v>-31649022</v>
      </c>
      <c r="J80" s="53">
        <f t="shared" si="10"/>
        <v>0</v>
      </c>
      <c r="K80" s="53">
        <f t="shared" si="11"/>
        <v>-31649022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653</v>
      </c>
      <c r="H81" s="36">
        <f t="shared" si="8"/>
        <v>0</v>
      </c>
      <c r="I81" s="11">
        <f t="shared" si="9"/>
        <v>-91420000</v>
      </c>
      <c r="J81" s="53">
        <f t="shared" si="10"/>
        <v>0</v>
      </c>
      <c r="K81" s="53">
        <f t="shared" si="11"/>
        <v>-91420000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652</v>
      </c>
      <c r="H82" s="36">
        <f t="shared" si="8"/>
        <v>0</v>
      </c>
      <c r="I82" s="11">
        <f t="shared" si="9"/>
        <v>-163000000</v>
      </c>
      <c r="J82" s="53">
        <f t="shared" si="10"/>
        <v>0</v>
      </c>
      <c r="K82" s="53">
        <f t="shared" si="11"/>
        <v>-163000000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651</v>
      </c>
      <c r="H83" s="36">
        <f t="shared" si="8"/>
        <v>0</v>
      </c>
      <c r="I83" s="11">
        <f t="shared" si="9"/>
        <v>-130200000</v>
      </c>
      <c r="J83" s="53">
        <f t="shared" si="10"/>
        <v>0</v>
      </c>
      <c r="K83" s="53">
        <f t="shared" si="11"/>
        <v>-130200000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648</v>
      </c>
      <c r="H84" s="36">
        <f t="shared" si="8"/>
        <v>1</v>
      </c>
      <c r="I84" s="11">
        <f t="shared" si="9"/>
        <v>1057974400</v>
      </c>
      <c r="J84" s="53">
        <f t="shared" si="10"/>
        <v>0</v>
      </c>
      <c r="K84" s="53">
        <f t="shared" si="11"/>
        <v>1057974400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644</v>
      </c>
      <c r="H85" s="36">
        <f t="shared" si="8"/>
        <v>1</v>
      </c>
      <c r="I85" s="11">
        <f t="shared" si="9"/>
        <v>1607500000</v>
      </c>
      <c r="J85" s="53">
        <f t="shared" si="10"/>
        <v>0</v>
      </c>
      <c r="K85" s="53">
        <f t="shared" si="11"/>
        <v>1607500000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640</v>
      </c>
      <c r="H86" s="36">
        <f t="shared" si="8"/>
        <v>1</v>
      </c>
      <c r="I86" s="11">
        <f t="shared" si="9"/>
        <v>119045700</v>
      </c>
      <c r="J86" s="53">
        <f t="shared" si="10"/>
        <v>54283050</v>
      </c>
      <c r="K86" s="53">
        <f t="shared" si="11"/>
        <v>64762650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637</v>
      </c>
      <c r="H87" s="36">
        <f t="shared" si="8"/>
        <v>0</v>
      </c>
      <c r="I87" s="11">
        <f t="shared" si="9"/>
        <v>-127400000</v>
      </c>
      <c r="J87" s="53">
        <f t="shared" si="10"/>
        <v>0</v>
      </c>
      <c r="K87" s="53">
        <f t="shared" si="11"/>
        <v>-127400000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636</v>
      </c>
      <c r="H88" s="36">
        <f t="shared" si="8"/>
        <v>0</v>
      </c>
      <c r="I88" s="11">
        <f t="shared" si="9"/>
        <v>-75048000</v>
      </c>
      <c r="J88" s="53">
        <f t="shared" si="10"/>
        <v>-43884000</v>
      </c>
      <c r="K88" s="53">
        <f t="shared" si="11"/>
        <v>-31164000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628</v>
      </c>
      <c r="H89" s="36">
        <f t="shared" si="8"/>
        <v>0</v>
      </c>
      <c r="I89" s="11">
        <f t="shared" si="9"/>
        <v>-2010165200</v>
      </c>
      <c r="J89" s="53">
        <f t="shared" si="10"/>
        <v>0</v>
      </c>
      <c r="K89" s="53">
        <f t="shared" si="11"/>
        <v>-2010165200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627</v>
      </c>
      <c r="H90" s="36">
        <f t="shared" si="8"/>
        <v>0</v>
      </c>
      <c r="I90" s="11">
        <f t="shared" si="9"/>
        <v>-2006964300</v>
      </c>
      <c r="J90" s="53">
        <f t="shared" si="10"/>
        <v>0</v>
      </c>
      <c r="K90" s="53">
        <f t="shared" si="11"/>
        <v>-2006964300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626</v>
      </c>
      <c r="H91" s="36">
        <f t="shared" si="8"/>
        <v>0</v>
      </c>
      <c r="I91" s="11">
        <f t="shared" si="9"/>
        <v>-2003763400</v>
      </c>
      <c r="J91" s="53">
        <f t="shared" si="10"/>
        <v>0</v>
      </c>
      <c r="K91" s="53">
        <f t="shared" si="11"/>
        <v>-2003763400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625</v>
      </c>
      <c r="H92" s="36">
        <f t="shared" si="8"/>
        <v>0</v>
      </c>
      <c r="I92" s="11">
        <f t="shared" si="9"/>
        <v>-2000562500</v>
      </c>
      <c r="J92" s="53">
        <f t="shared" si="10"/>
        <v>0</v>
      </c>
      <c r="K92" s="53">
        <f t="shared" si="11"/>
        <v>-2000562500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624</v>
      </c>
      <c r="H93" s="36">
        <f t="shared" si="8"/>
        <v>0</v>
      </c>
      <c r="I93" s="11">
        <f t="shared" si="9"/>
        <v>-1997361600</v>
      </c>
      <c r="J93" s="53">
        <f t="shared" si="10"/>
        <v>0</v>
      </c>
      <c r="K93" s="53">
        <f t="shared" si="11"/>
        <v>-1997361600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623</v>
      </c>
      <c r="H94" s="36">
        <f t="shared" si="8"/>
        <v>0</v>
      </c>
      <c r="I94" s="11">
        <f t="shared" si="9"/>
        <v>-1994160700</v>
      </c>
      <c r="J94" s="53">
        <f t="shared" si="10"/>
        <v>0</v>
      </c>
      <c r="K94" s="53">
        <f t="shared" si="11"/>
        <v>-1994160700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621</v>
      </c>
      <c r="H95" s="36">
        <f t="shared" si="8"/>
        <v>0</v>
      </c>
      <c r="I95" s="11">
        <f t="shared" si="9"/>
        <v>-743086116</v>
      </c>
      <c r="J95" s="53">
        <f t="shared" si="10"/>
        <v>0</v>
      </c>
      <c r="K95" s="53">
        <f t="shared" si="11"/>
        <v>-743086116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611</v>
      </c>
      <c r="H96" s="36">
        <f t="shared" si="8"/>
        <v>0</v>
      </c>
      <c r="I96" s="11">
        <f t="shared" si="9"/>
        <v>-122200000</v>
      </c>
      <c r="J96" s="53">
        <f t="shared" si="10"/>
        <v>0</v>
      </c>
      <c r="K96" s="53">
        <f t="shared" si="11"/>
        <v>-122200000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610</v>
      </c>
      <c r="H97" s="36">
        <f t="shared" si="8"/>
        <v>1</v>
      </c>
      <c r="I97" s="11">
        <f t="shared" si="9"/>
        <v>97170822</v>
      </c>
      <c r="J97" s="53">
        <f t="shared" si="10"/>
        <v>41975934</v>
      </c>
      <c r="K97" s="53">
        <f t="shared" si="11"/>
        <v>55194888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605</v>
      </c>
      <c r="H98" s="36">
        <f t="shared" si="8"/>
        <v>1</v>
      </c>
      <c r="I98" s="11">
        <f t="shared" si="9"/>
        <v>69078272</v>
      </c>
      <c r="J98" s="53">
        <f t="shared" si="10"/>
        <v>0</v>
      </c>
      <c r="K98" s="53">
        <f t="shared" si="11"/>
        <v>69078272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602</v>
      </c>
      <c r="H99" s="36">
        <f t="shared" si="8"/>
        <v>0</v>
      </c>
      <c r="I99" s="11">
        <f t="shared" si="9"/>
        <v>-797650000</v>
      </c>
      <c r="J99" s="53">
        <f t="shared" si="10"/>
        <v>0</v>
      </c>
      <c r="K99" s="53">
        <f t="shared" si="11"/>
        <v>-797650000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597</v>
      </c>
      <c r="H100" s="36">
        <f t="shared" si="8"/>
        <v>1</v>
      </c>
      <c r="I100" s="11">
        <f t="shared" si="9"/>
        <v>789700000</v>
      </c>
      <c r="J100" s="53">
        <f t="shared" si="10"/>
        <v>0</v>
      </c>
      <c r="K100" s="53">
        <f t="shared" si="11"/>
        <v>789700000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580</v>
      </c>
      <c r="H101" s="36">
        <f t="shared" si="8"/>
        <v>1</v>
      </c>
      <c r="I101" s="11">
        <f t="shared" si="9"/>
        <v>38703255</v>
      </c>
      <c r="J101" s="53">
        <f t="shared" si="10"/>
        <v>38703255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577</v>
      </c>
      <c r="H102" s="36">
        <f t="shared" si="8"/>
        <v>1</v>
      </c>
      <c r="I102" s="11">
        <f t="shared" si="9"/>
        <v>1728000000</v>
      </c>
      <c r="J102" s="53">
        <f t="shared" si="10"/>
        <v>0</v>
      </c>
      <c r="K102" s="53">
        <f t="shared" si="11"/>
        <v>1728000000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570</v>
      </c>
      <c r="H103" s="36">
        <f t="shared" si="8"/>
        <v>0</v>
      </c>
      <c r="I103" s="11">
        <f t="shared" si="9"/>
        <v>-570000000</v>
      </c>
      <c r="J103" s="53">
        <f t="shared" si="10"/>
        <v>-570000000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560</v>
      </c>
      <c r="H104" s="36">
        <f t="shared" si="8"/>
        <v>1</v>
      </c>
      <c r="I104" s="11">
        <f t="shared" si="9"/>
        <v>1677000000</v>
      </c>
      <c r="J104" s="53">
        <f t="shared" si="10"/>
        <v>1677000000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559</v>
      </c>
      <c r="H105" s="36">
        <f t="shared" si="8"/>
        <v>1</v>
      </c>
      <c r="I105" s="11">
        <f t="shared" si="9"/>
        <v>624960000</v>
      </c>
      <c r="J105" s="53">
        <f t="shared" si="10"/>
        <v>624960000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559</v>
      </c>
      <c r="H106" s="36">
        <f t="shared" si="8"/>
        <v>0</v>
      </c>
      <c r="I106" s="11">
        <f t="shared" si="9"/>
        <v>-1677000000</v>
      </c>
      <c r="J106" s="53">
        <f t="shared" si="10"/>
        <v>0</v>
      </c>
      <c r="K106" s="53">
        <f t="shared" si="11"/>
        <v>-1677000000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550</v>
      </c>
      <c r="H107" s="36">
        <f t="shared" si="8"/>
        <v>1</v>
      </c>
      <c r="I107" s="11">
        <f t="shared" si="9"/>
        <v>49681206</v>
      </c>
      <c r="J107" s="53">
        <f t="shared" si="10"/>
        <v>41238135</v>
      </c>
      <c r="K107" s="53">
        <f t="shared" si="11"/>
        <v>8443071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548</v>
      </c>
      <c r="H108" s="36">
        <f t="shared" si="8"/>
        <v>0</v>
      </c>
      <c r="I108" s="11">
        <f t="shared" si="9"/>
        <v>-931983600</v>
      </c>
      <c r="J108" s="53">
        <f t="shared" si="10"/>
        <v>0</v>
      </c>
      <c r="K108" s="53">
        <f t="shared" si="11"/>
        <v>-931983600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544</v>
      </c>
      <c r="H109" s="36">
        <f t="shared" si="8"/>
        <v>0</v>
      </c>
      <c r="I109" s="11">
        <f t="shared" si="9"/>
        <v>-544272000</v>
      </c>
      <c r="J109" s="53">
        <f t="shared" si="10"/>
        <v>0</v>
      </c>
      <c r="K109" s="53">
        <f t="shared" si="11"/>
        <v>-544272000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541</v>
      </c>
      <c r="H110" s="36">
        <f t="shared" si="8"/>
        <v>1</v>
      </c>
      <c r="I110" s="11">
        <f t="shared" si="9"/>
        <v>10800000000</v>
      </c>
      <c r="J110" s="53">
        <f t="shared" si="10"/>
        <v>0</v>
      </c>
      <c r="K110" s="53">
        <f t="shared" si="11"/>
        <v>10800000000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521</v>
      </c>
      <c r="H111" s="36">
        <f t="shared" si="8"/>
        <v>1</v>
      </c>
      <c r="I111" s="11">
        <f t="shared" si="9"/>
        <v>90832560</v>
      </c>
      <c r="J111" s="53">
        <f t="shared" si="10"/>
        <v>45428760</v>
      </c>
      <c r="K111" s="53">
        <f t="shared" si="11"/>
        <v>45403800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505</v>
      </c>
      <c r="H112" s="36">
        <f t="shared" si="8"/>
        <v>0</v>
      </c>
      <c r="I112" s="11">
        <f t="shared" si="9"/>
        <v>-14342000000</v>
      </c>
      <c r="J112" s="53">
        <f t="shared" si="10"/>
        <v>0</v>
      </c>
      <c r="K112" s="53">
        <f t="shared" si="11"/>
        <v>-14342000000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490</v>
      </c>
      <c r="H113" s="36">
        <f t="shared" si="8"/>
        <v>1</v>
      </c>
      <c r="I113" s="11">
        <f t="shared" si="9"/>
        <v>79726560</v>
      </c>
      <c r="J113" s="53">
        <f t="shared" si="10"/>
        <v>59907879</v>
      </c>
      <c r="K113" s="53">
        <f t="shared" si="11"/>
        <v>19818681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490</v>
      </c>
      <c r="H114" s="36">
        <f t="shared" si="8"/>
        <v>0</v>
      </c>
      <c r="I114" s="11">
        <f t="shared" si="9"/>
        <v>-2793000</v>
      </c>
      <c r="J114" s="53">
        <f t="shared" si="10"/>
        <v>-1225000</v>
      </c>
      <c r="K114" s="53">
        <f t="shared" si="11"/>
        <v>-1568000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477</v>
      </c>
      <c r="H115" s="36">
        <f t="shared" si="8"/>
        <v>0</v>
      </c>
      <c r="I115" s="11">
        <f t="shared" si="9"/>
        <v>0</v>
      </c>
      <c r="J115" s="53">
        <f t="shared" si="10"/>
        <v>238500000</v>
      </c>
      <c r="K115" s="53">
        <f t="shared" si="11"/>
        <v>-238500000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469</v>
      </c>
      <c r="H116" s="36">
        <f t="shared" si="8"/>
        <v>0</v>
      </c>
      <c r="I116" s="11">
        <f t="shared" si="9"/>
        <v>-75040000</v>
      </c>
      <c r="J116" s="53">
        <f t="shared" si="10"/>
        <v>0</v>
      </c>
      <c r="K116" s="53">
        <f t="shared" si="11"/>
        <v>-75040000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460</v>
      </c>
      <c r="H117" s="36">
        <f t="shared" si="8"/>
        <v>1</v>
      </c>
      <c r="I117" s="11">
        <f t="shared" si="9"/>
        <v>679320</v>
      </c>
      <c r="J117" s="53">
        <f t="shared" si="10"/>
        <v>49085919</v>
      </c>
      <c r="K117" s="53">
        <f t="shared" si="11"/>
        <v>-48406599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438</v>
      </c>
      <c r="H118" s="36">
        <f t="shared" si="8"/>
        <v>1</v>
      </c>
      <c r="I118" s="11">
        <f t="shared" si="9"/>
        <v>17217581500</v>
      </c>
      <c r="J118" s="53">
        <f t="shared" si="10"/>
        <v>0</v>
      </c>
      <c r="K118" s="53">
        <f t="shared" si="11"/>
        <v>17217581500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429</v>
      </c>
      <c r="H119" s="36">
        <f t="shared" si="8"/>
        <v>1</v>
      </c>
      <c r="I119" s="11">
        <f t="shared" si="9"/>
        <v>40882988</v>
      </c>
      <c r="J119" s="53">
        <f t="shared" si="10"/>
        <v>47103112</v>
      </c>
      <c r="K119" s="53">
        <f t="shared" si="11"/>
        <v>-6220124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425</v>
      </c>
      <c r="H120" s="11">
        <f t="shared" si="8"/>
        <v>1</v>
      </c>
      <c r="I120" s="11">
        <f t="shared" ref="I120:I206" si="13">B120*(G120-H120)</f>
        <v>848000000</v>
      </c>
      <c r="J120" s="11">
        <f t="shared" si="10"/>
        <v>0</v>
      </c>
      <c r="K120" s="11">
        <f t="shared" si="11"/>
        <v>848000000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399</v>
      </c>
      <c r="H121" s="11">
        <f t="shared" si="8"/>
        <v>1</v>
      </c>
      <c r="I121" s="11">
        <f t="shared" si="13"/>
        <v>1034800000</v>
      </c>
      <c r="J121" s="11">
        <f t="shared" si="10"/>
        <v>0</v>
      </c>
      <c r="K121" s="11">
        <f t="shared" si="11"/>
        <v>1034800000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398</v>
      </c>
      <c r="H122" s="11">
        <f t="shared" si="8"/>
        <v>1</v>
      </c>
      <c r="I122" s="11">
        <f t="shared" si="13"/>
        <v>152666747</v>
      </c>
      <c r="J122" s="11">
        <f t="shared" si="10"/>
        <v>44030476</v>
      </c>
      <c r="K122" s="11">
        <f t="shared" si="11"/>
        <v>108636271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397</v>
      </c>
      <c r="H123" s="11">
        <f t="shared" si="8"/>
        <v>0</v>
      </c>
      <c r="I123" s="11">
        <f t="shared" si="13"/>
        <v>0</v>
      </c>
      <c r="J123" s="11">
        <f t="shared" si="10"/>
        <v>317600000</v>
      </c>
      <c r="K123" s="11">
        <f t="shared" si="11"/>
        <v>-317600000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383</v>
      </c>
      <c r="H124" s="11">
        <f t="shared" si="8"/>
        <v>0</v>
      </c>
      <c r="I124" s="11">
        <f t="shared" si="13"/>
        <v>-1149000000</v>
      </c>
      <c r="J124" s="11">
        <f t="shared" si="10"/>
        <v>0</v>
      </c>
      <c r="K124" s="11">
        <f t="shared" si="11"/>
        <v>-1149000000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368</v>
      </c>
      <c r="H125" s="11">
        <f t="shared" si="8"/>
        <v>1</v>
      </c>
      <c r="I125" s="11">
        <f t="shared" si="13"/>
        <v>147060570</v>
      </c>
      <c r="J125" s="11">
        <f t="shared" si="10"/>
        <v>43627125</v>
      </c>
      <c r="K125" s="11">
        <f t="shared" si="11"/>
        <v>103433445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368</v>
      </c>
      <c r="H126" s="11">
        <f t="shared" si="8"/>
        <v>1</v>
      </c>
      <c r="I126" s="11">
        <f t="shared" si="13"/>
        <v>15414000000</v>
      </c>
      <c r="J126" s="11">
        <f t="shared" si="10"/>
        <v>0</v>
      </c>
      <c r="K126" s="11">
        <f t="shared" si="11"/>
        <v>15414000000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343</v>
      </c>
      <c r="H127" s="11">
        <f t="shared" si="8"/>
        <v>0</v>
      </c>
      <c r="I127" s="11">
        <f t="shared" si="13"/>
        <v>-1715000</v>
      </c>
      <c r="J127" s="11">
        <f t="shared" si="10"/>
        <v>0</v>
      </c>
      <c r="K127" s="11">
        <f t="shared" si="11"/>
        <v>-1715000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337</v>
      </c>
      <c r="H128" s="11">
        <f t="shared" si="8"/>
        <v>1</v>
      </c>
      <c r="I128" s="11">
        <f t="shared" si="13"/>
        <v>259181664</v>
      </c>
      <c r="J128" s="11">
        <f t="shared" si="10"/>
        <v>40554192</v>
      </c>
      <c r="K128" s="11">
        <f t="shared" si="11"/>
        <v>218627472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334</v>
      </c>
      <c r="H129" s="11">
        <f t="shared" si="8"/>
        <v>1</v>
      </c>
      <c r="I129" s="11">
        <f t="shared" si="13"/>
        <v>832500000</v>
      </c>
      <c r="J129" s="11">
        <f t="shared" si="10"/>
        <v>0</v>
      </c>
      <c r="K129" s="11">
        <f t="shared" si="11"/>
        <v>832500000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320</v>
      </c>
      <c r="H130" s="11">
        <f t="shared" si="8"/>
        <v>0</v>
      </c>
      <c r="I130" s="11">
        <f t="shared" si="13"/>
        <v>-320000000</v>
      </c>
      <c r="J130" s="11">
        <f t="shared" si="10"/>
        <v>-320000000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315</v>
      </c>
      <c r="H131" s="11">
        <f t="shared" si="8"/>
        <v>0</v>
      </c>
      <c r="I131" s="11">
        <f t="shared" si="13"/>
        <v>-15750000000</v>
      </c>
      <c r="J131" s="11">
        <f t="shared" si="10"/>
        <v>0</v>
      </c>
      <c r="K131" s="11">
        <f t="shared" si="11"/>
        <v>-15750000000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307</v>
      </c>
      <c r="H132" s="11">
        <f t="shared" ref="H132:H206" si="15">IF(B132&gt;0,1,0)</f>
        <v>1</v>
      </c>
      <c r="I132" s="11">
        <f t="shared" si="13"/>
        <v>187971822</v>
      </c>
      <c r="J132" s="11">
        <f t="shared" ref="J132:J206" si="16">C132*(G132-H132)</f>
        <v>32427126</v>
      </c>
      <c r="K132" s="11">
        <f t="shared" ref="K132:K206" si="17">D132*(G132-H132)</f>
        <v>155544696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303</v>
      </c>
      <c r="H133" s="11">
        <f t="shared" si="15"/>
        <v>0</v>
      </c>
      <c r="I133" s="11">
        <f t="shared" si="13"/>
        <v>-366842100</v>
      </c>
      <c r="J133" s="11">
        <f t="shared" si="16"/>
        <v>0</v>
      </c>
      <c r="K133" s="11">
        <f t="shared" si="17"/>
        <v>-366842100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294</v>
      </c>
      <c r="H134" s="11">
        <f t="shared" si="15"/>
        <v>0</v>
      </c>
      <c r="I134" s="11">
        <f t="shared" si="13"/>
        <v>-19110000</v>
      </c>
      <c r="J134" s="11">
        <f t="shared" si="16"/>
        <v>0</v>
      </c>
      <c r="K134" s="11">
        <f t="shared" si="17"/>
        <v>-19110000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294</v>
      </c>
      <c r="H135" s="11">
        <f t="shared" si="15"/>
        <v>0</v>
      </c>
      <c r="I135" s="11">
        <f t="shared" si="13"/>
        <v>-9496200</v>
      </c>
      <c r="J135" s="11">
        <f t="shared" si="16"/>
        <v>0</v>
      </c>
      <c r="K135" s="11">
        <f t="shared" si="17"/>
        <v>-9496200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286</v>
      </c>
      <c r="H136" s="11">
        <f t="shared" si="15"/>
        <v>0</v>
      </c>
      <c r="I136" s="11">
        <f t="shared" si="13"/>
        <v>-286000000</v>
      </c>
      <c r="J136" s="11">
        <f t="shared" si="16"/>
        <v>-286000000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277</v>
      </c>
      <c r="H137" s="11">
        <f t="shared" si="15"/>
        <v>1</v>
      </c>
      <c r="I137" s="11">
        <f t="shared" si="13"/>
        <v>80280948</v>
      </c>
      <c r="J137" s="11">
        <f t="shared" si="16"/>
        <v>26871084</v>
      </c>
      <c r="K137" s="11">
        <f t="shared" si="17"/>
        <v>53409864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260</v>
      </c>
      <c r="H138" s="11">
        <f t="shared" si="15"/>
        <v>0</v>
      </c>
      <c r="I138" s="11">
        <f t="shared" si="13"/>
        <v>-260130000</v>
      </c>
      <c r="J138" s="11">
        <f t="shared" si="16"/>
        <v>-260130000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248</v>
      </c>
      <c r="H139" s="11">
        <f t="shared" si="15"/>
        <v>1</v>
      </c>
      <c r="I139" s="11">
        <f t="shared" si="13"/>
        <v>69713280</v>
      </c>
      <c r="J139" s="11">
        <f t="shared" si="16"/>
        <v>21935329</v>
      </c>
      <c r="K139" s="11">
        <f t="shared" si="17"/>
        <v>47777951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245</v>
      </c>
      <c r="H140" s="11">
        <f t="shared" si="15"/>
        <v>1</v>
      </c>
      <c r="I140" s="11">
        <f t="shared" si="13"/>
        <v>366000000</v>
      </c>
      <c r="J140" s="11">
        <f t="shared" si="16"/>
        <v>0</v>
      </c>
      <c r="K140" s="11">
        <f t="shared" si="17"/>
        <v>366000000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232</v>
      </c>
      <c r="H141" s="11">
        <f t="shared" si="15"/>
        <v>0</v>
      </c>
      <c r="I141" s="11">
        <f t="shared" si="13"/>
        <v>0</v>
      </c>
      <c r="J141" s="11">
        <f t="shared" si="16"/>
        <v>-232000000</v>
      </c>
      <c r="K141" s="11">
        <f t="shared" si="17"/>
        <v>232000000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218</v>
      </c>
      <c r="H142" s="11">
        <f t="shared" si="15"/>
        <v>1</v>
      </c>
      <c r="I142" s="11">
        <f t="shared" si="13"/>
        <v>63123781</v>
      </c>
      <c r="J142" s="11">
        <f t="shared" si="16"/>
        <v>17581774</v>
      </c>
      <c r="K142" s="11">
        <f t="shared" si="17"/>
        <v>45542007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198</v>
      </c>
      <c r="H143" s="11">
        <f t="shared" si="15"/>
        <v>0</v>
      </c>
      <c r="I143" s="11">
        <f t="shared" si="13"/>
        <v>0</v>
      </c>
      <c r="J143" s="11">
        <f t="shared" si="16"/>
        <v>-198000000</v>
      </c>
      <c r="K143" s="11">
        <f t="shared" si="17"/>
        <v>198000000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188</v>
      </c>
      <c r="H144" s="11">
        <f t="shared" si="15"/>
        <v>1</v>
      </c>
      <c r="I144" s="11">
        <f t="shared" si="13"/>
        <v>55137324</v>
      </c>
      <c r="J144" s="11">
        <f t="shared" si="16"/>
        <v>13960859</v>
      </c>
      <c r="K144" s="11">
        <f t="shared" si="17"/>
        <v>41176465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173</v>
      </c>
      <c r="H145" s="11">
        <f t="shared" si="15"/>
        <v>0</v>
      </c>
      <c r="I145" s="11">
        <f t="shared" si="13"/>
        <v>-1730000</v>
      </c>
      <c r="J145" s="11">
        <f t="shared" si="16"/>
        <v>-865000</v>
      </c>
      <c r="K145" s="11">
        <f t="shared" si="17"/>
        <v>-865000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168</v>
      </c>
      <c r="H146" s="11">
        <f t="shared" si="15"/>
        <v>0</v>
      </c>
      <c r="I146" s="11">
        <f t="shared" si="13"/>
        <v>-168084000</v>
      </c>
      <c r="J146" s="11">
        <f t="shared" si="16"/>
        <v>-168084000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1013</v>
      </c>
      <c r="F147" s="11">
        <v>3</v>
      </c>
      <c r="G147" s="36">
        <f t="shared" si="14"/>
        <v>162</v>
      </c>
      <c r="H147" s="11">
        <f t="shared" si="15"/>
        <v>0</v>
      </c>
      <c r="I147" s="11">
        <f t="shared" si="13"/>
        <v>-4374000000</v>
      </c>
      <c r="J147" s="11">
        <f t="shared" si="16"/>
        <v>0</v>
      </c>
      <c r="K147" s="11">
        <f t="shared" si="17"/>
        <v>-4374000000</v>
      </c>
    </row>
    <row r="148" spans="1:11" x14ac:dyDescent="0.25">
      <c r="A148" s="11" t="s">
        <v>1038</v>
      </c>
      <c r="B148" s="18">
        <v>252436</v>
      </c>
      <c r="C148" s="18">
        <v>65510</v>
      </c>
      <c r="D148" s="18">
        <f t="shared" si="12"/>
        <v>186926</v>
      </c>
      <c r="E148" s="11" t="s">
        <v>1040</v>
      </c>
      <c r="F148" s="11">
        <v>8</v>
      </c>
      <c r="G148" s="36">
        <f t="shared" si="14"/>
        <v>159</v>
      </c>
      <c r="H148" s="11">
        <f t="shared" si="15"/>
        <v>1</v>
      </c>
      <c r="I148" s="11">
        <f t="shared" si="13"/>
        <v>39884888</v>
      </c>
      <c r="J148" s="11">
        <f t="shared" si="16"/>
        <v>10350580</v>
      </c>
      <c r="K148" s="11">
        <f t="shared" si="17"/>
        <v>29534308</v>
      </c>
    </row>
    <row r="149" spans="1:11" x14ac:dyDescent="0.25">
      <c r="A149" s="11" t="s">
        <v>1077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1078</v>
      </c>
      <c r="F149" s="11">
        <v>7</v>
      </c>
      <c r="G149" s="36">
        <f t="shared" si="14"/>
        <v>151</v>
      </c>
      <c r="H149" s="11">
        <f t="shared" si="15"/>
        <v>1</v>
      </c>
      <c r="I149" s="11">
        <f t="shared" si="13"/>
        <v>7860000000</v>
      </c>
      <c r="J149" s="11">
        <f t="shared" si="16"/>
        <v>0</v>
      </c>
      <c r="K149" s="11">
        <f t="shared" si="17"/>
        <v>7860000000</v>
      </c>
    </row>
    <row r="150" spans="1:11" x14ac:dyDescent="0.25">
      <c r="A150" s="11" t="s">
        <v>1084</v>
      </c>
      <c r="B150" s="18">
        <v>-52000000</v>
      </c>
      <c r="C150" s="18">
        <v>0</v>
      </c>
      <c r="D150" s="18">
        <f t="shared" si="18"/>
        <v>-52000000</v>
      </c>
      <c r="E150" s="11" t="s">
        <v>1087</v>
      </c>
      <c r="F150" s="11">
        <v>5</v>
      </c>
      <c r="G150" s="36">
        <f t="shared" si="14"/>
        <v>144</v>
      </c>
      <c r="H150" s="11">
        <f t="shared" si="15"/>
        <v>0</v>
      </c>
      <c r="I150" s="11">
        <f t="shared" si="13"/>
        <v>-7488000000</v>
      </c>
      <c r="J150" s="11">
        <f t="shared" si="16"/>
        <v>0</v>
      </c>
      <c r="K150" s="11">
        <f t="shared" si="17"/>
        <v>-7488000000</v>
      </c>
    </row>
    <row r="151" spans="1:11" x14ac:dyDescent="0.25">
      <c r="A151" s="11" t="s">
        <v>1130</v>
      </c>
      <c r="B151" s="18">
        <v>-8000000</v>
      </c>
      <c r="C151" s="18">
        <v>-6772131</v>
      </c>
      <c r="D151" s="18">
        <f t="shared" si="18"/>
        <v>-1227869</v>
      </c>
      <c r="E151" s="11" t="s">
        <v>1119</v>
      </c>
      <c r="F151" s="11">
        <v>0</v>
      </c>
      <c r="G151" s="36">
        <f t="shared" si="14"/>
        <v>139</v>
      </c>
      <c r="H151" s="105">
        <f t="shared" si="15"/>
        <v>0</v>
      </c>
      <c r="I151" s="105">
        <f t="shared" si="13"/>
        <v>-1112000000</v>
      </c>
      <c r="J151" s="105">
        <f t="shared" si="16"/>
        <v>-941326209</v>
      </c>
      <c r="K151" s="11">
        <f t="shared" si="17"/>
        <v>-170673791</v>
      </c>
    </row>
    <row r="152" spans="1:11" x14ac:dyDescent="0.25">
      <c r="A152" s="11" t="s">
        <v>1130</v>
      </c>
      <c r="B152" s="18">
        <v>-31230</v>
      </c>
      <c r="C152" s="18">
        <v>0</v>
      </c>
      <c r="D152" s="18">
        <f t="shared" si="18"/>
        <v>-31230</v>
      </c>
      <c r="E152" s="11" t="s">
        <v>1131</v>
      </c>
      <c r="F152" s="11">
        <v>11</v>
      </c>
      <c r="G152" s="36">
        <f t="shared" si="14"/>
        <v>139</v>
      </c>
      <c r="H152" s="105">
        <f t="shared" si="15"/>
        <v>0</v>
      </c>
      <c r="I152" s="105">
        <f t="shared" si="13"/>
        <v>-4340970</v>
      </c>
      <c r="J152" s="105">
        <f t="shared" si="16"/>
        <v>0</v>
      </c>
      <c r="K152" s="105">
        <f t="shared" si="17"/>
        <v>-4340970</v>
      </c>
    </row>
    <row r="153" spans="1:11" x14ac:dyDescent="0.25">
      <c r="A153" s="105" t="s">
        <v>1177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128</v>
      </c>
      <c r="H153" s="105">
        <f t="shared" si="15"/>
        <v>1</v>
      </c>
      <c r="I153" s="105">
        <f t="shared" si="13"/>
        <v>17156049</v>
      </c>
      <c r="J153" s="105">
        <f t="shared" si="16"/>
        <v>5223510</v>
      </c>
      <c r="K153" s="105">
        <f t="shared" si="17"/>
        <v>11932539</v>
      </c>
    </row>
    <row r="154" spans="1:11" x14ac:dyDescent="0.25">
      <c r="A154" s="105" t="s">
        <v>1188</v>
      </c>
      <c r="B154" s="18">
        <v>6824082</v>
      </c>
      <c r="C154" s="18">
        <v>6824082</v>
      </c>
      <c r="D154" s="18">
        <f t="shared" si="18"/>
        <v>0</v>
      </c>
      <c r="E154" s="105" t="s">
        <v>1189</v>
      </c>
      <c r="F154" s="105">
        <v>5</v>
      </c>
      <c r="G154" s="36">
        <f t="shared" si="14"/>
        <v>125</v>
      </c>
      <c r="H154" s="105">
        <f t="shared" si="15"/>
        <v>1</v>
      </c>
      <c r="I154" s="105">
        <f t="shared" si="13"/>
        <v>846186168</v>
      </c>
      <c r="J154" s="105">
        <f t="shared" si="16"/>
        <v>846186168</v>
      </c>
      <c r="K154" s="105">
        <f t="shared" si="17"/>
        <v>0</v>
      </c>
    </row>
    <row r="155" spans="1:11" x14ac:dyDescent="0.25">
      <c r="A155" s="105" t="s">
        <v>1207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120</v>
      </c>
      <c r="H155" s="105">
        <f t="shared" si="15"/>
        <v>0</v>
      </c>
      <c r="I155" s="105">
        <f t="shared" si="13"/>
        <v>-24000000</v>
      </c>
      <c r="J155" s="105">
        <f t="shared" si="16"/>
        <v>0</v>
      </c>
      <c r="K155" s="105">
        <f t="shared" si="17"/>
        <v>-24000000</v>
      </c>
    </row>
    <row r="156" spans="1:11" x14ac:dyDescent="0.25">
      <c r="A156" s="105" t="s">
        <v>1207</v>
      </c>
      <c r="B156" s="18">
        <v>-247840</v>
      </c>
      <c r="C156" s="18">
        <v>0</v>
      </c>
      <c r="D156" s="18">
        <f t="shared" si="18"/>
        <v>-247840</v>
      </c>
      <c r="E156" s="105" t="s">
        <v>1209</v>
      </c>
      <c r="F156" s="105">
        <v>1</v>
      </c>
      <c r="G156" s="36">
        <f t="shared" si="14"/>
        <v>120</v>
      </c>
      <c r="H156" s="105">
        <f t="shared" si="15"/>
        <v>0</v>
      </c>
      <c r="I156" s="105">
        <f t="shared" si="13"/>
        <v>-29740800</v>
      </c>
      <c r="J156" s="105">
        <f t="shared" si="16"/>
        <v>0</v>
      </c>
      <c r="K156" s="105">
        <f t="shared" si="17"/>
        <v>-29740800</v>
      </c>
    </row>
    <row r="157" spans="1:11" x14ac:dyDescent="0.25">
      <c r="A157" s="105" t="s">
        <v>1213</v>
      </c>
      <c r="B157" s="18">
        <v>-162340</v>
      </c>
      <c r="C157" s="18">
        <v>0</v>
      </c>
      <c r="D157" s="18">
        <f t="shared" si="18"/>
        <v>-162340</v>
      </c>
      <c r="E157" s="105" t="s">
        <v>1214</v>
      </c>
      <c r="F157" s="105">
        <v>0</v>
      </c>
      <c r="G157" s="36">
        <f t="shared" si="14"/>
        <v>119</v>
      </c>
      <c r="H157" s="105">
        <f t="shared" si="15"/>
        <v>0</v>
      </c>
      <c r="I157" s="105">
        <f t="shared" si="13"/>
        <v>-19318460</v>
      </c>
      <c r="J157" s="105">
        <f t="shared" si="16"/>
        <v>0</v>
      </c>
      <c r="K157" s="105">
        <f t="shared" si="17"/>
        <v>-19318460</v>
      </c>
    </row>
    <row r="158" spans="1:11" x14ac:dyDescent="0.25">
      <c r="A158" s="105" t="s">
        <v>1213</v>
      </c>
      <c r="B158" s="18">
        <v>-3000900</v>
      </c>
      <c r="C158" s="18">
        <v>0</v>
      </c>
      <c r="D158" s="18">
        <f t="shared" si="18"/>
        <v>-3000900</v>
      </c>
      <c r="E158" s="105" t="s">
        <v>1215</v>
      </c>
      <c r="F158" s="105">
        <v>2</v>
      </c>
      <c r="G158" s="36">
        <f t="shared" si="14"/>
        <v>119</v>
      </c>
      <c r="H158" s="105">
        <f t="shared" si="15"/>
        <v>0</v>
      </c>
      <c r="I158" s="105">
        <f t="shared" si="13"/>
        <v>-357107100</v>
      </c>
      <c r="J158" s="105">
        <f t="shared" si="16"/>
        <v>0</v>
      </c>
      <c r="K158" s="105">
        <f t="shared" si="17"/>
        <v>-357107100</v>
      </c>
    </row>
    <row r="159" spans="1:11" x14ac:dyDescent="0.25">
      <c r="A159" s="105" t="s">
        <v>1229</v>
      </c>
      <c r="B159" s="18">
        <v>-1000500</v>
      </c>
      <c r="C159" s="18">
        <v>0</v>
      </c>
      <c r="D159" s="18">
        <f t="shared" si="18"/>
        <v>-1000500</v>
      </c>
      <c r="E159" s="105" t="s">
        <v>1230</v>
      </c>
      <c r="F159" s="105">
        <v>4</v>
      </c>
      <c r="G159" s="36">
        <f t="shared" si="14"/>
        <v>117</v>
      </c>
      <c r="H159" s="105">
        <f t="shared" si="15"/>
        <v>0</v>
      </c>
      <c r="I159" s="105">
        <f t="shared" si="13"/>
        <v>-117058500</v>
      </c>
      <c r="J159" s="105">
        <f t="shared" si="16"/>
        <v>0</v>
      </c>
      <c r="K159" s="105">
        <f t="shared" si="17"/>
        <v>-117058500</v>
      </c>
    </row>
    <row r="160" spans="1:11" x14ac:dyDescent="0.25">
      <c r="A160" s="105" t="s">
        <v>1241</v>
      </c>
      <c r="B160" s="18">
        <v>-100000</v>
      </c>
      <c r="C160" s="18">
        <v>0</v>
      </c>
      <c r="D160" s="18">
        <f t="shared" si="18"/>
        <v>-100000</v>
      </c>
      <c r="E160" s="105" t="s">
        <v>1242</v>
      </c>
      <c r="F160" s="105">
        <v>1</v>
      </c>
      <c r="G160" s="36">
        <f t="shared" si="14"/>
        <v>113</v>
      </c>
      <c r="H160" s="105">
        <f t="shared" si="15"/>
        <v>0</v>
      </c>
      <c r="I160" s="105">
        <f t="shared" si="13"/>
        <v>-11300000</v>
      </c>
      <c r="J160" s="105">
        <f t="shared" si="16"/>
        <v>0</v>
      </c>
      <c r="K160" s="105">
        <f t="shared" si="17"/>
        <v>-11300000</v>
      </c>
    </row>
    <row r="161" spans="1:13" x14ac:dyDescent="0.25">
      <c r="A161" s="105" t="s">
        <v>1245</v>
      </c>
      <c r="B161" s="18">
        <v>-2000000</v>
      </c>
      <c r="C161" s="18">
        <v>0</v>
      </c>
      <c r="D161" s="18">
        <f t="shared" si="18"/>
        <v>-2000000</v>
      </c>
      <c r="E161" s="105" t="s">
        <v>1119</v>
      </c>
      <c r="F161" s="105">
        <v>0</v>
      </c>
      <c r="G161" s="36">
        <f t="shared" si="14"/>
        <v>112</v>
      </c>
      <c r="H161" s="105">
        <f t="shared" si="15"/>
        <v>0</v>
      </c>
      <c r="I161" s="105">
        <f t="shared" si="13"/>
        <v>-224000000</v>
      </c>
      <c r="J161" s="105">
        <f t="shared" si="16"/>
        <v>0</v>
      </c>
      <c r="K161" s="105">
        <f t="shared" si="17"/>
        <v>-224000000</v>
      </c>
    </row>
    <row r="162" spans="1:13" x14ac:dyDescent="0.25">
      <c r="A162" s="105" t="s">
        <v>1245</v>
      </c>
      <c r="B162" s="18">
        <v>-1000500</v>
      </c>
      <c r="C162" s="18">
        <v>0</v>
      </c>
      <c r="D162" s="18">
        <f t="shared" si="18"/>
        <v>-1000500</v>
      </c>
      <c r="E162" s="105" t="s">
        <v>1253</v>
      </c>
      <c r="F162" s="105">
        <v>3</v>
      </c>
      <c r="G162" s="36">
        <f t="shared" si="14"/>
        <v>112</v>
      </c>
      <c r="H162" s="105">
        <f t="shared" si="15"/>
        <v>0</v>
      </c>
      <c r="I162" s="105">
        <f t="shared" si="13"/>
        <v>-112056000</v>
      </c>
      <c r="J162" s="105">
        <f t="shared" si="16"/>
        <v>0</v>
      </c>
      <c r="K162" s="105">
        <f t="shared" si="17"/>
        <v>-112056000</v>
      </c>
    </row>
    <row r="163" spans="1:13" x14ac:dyDescent="0.25">
      <c r="A163" s="105" t="s">
        <v>1260</v>
      </c>
      <c r="B163" s="18">
        <v>-5000</v>
      </c>
      <c r="C163" s="18">
        <v>0</v>
      </c>
      <c r="D163" s="18">
        <f t="shared" si="18"/>
        <v>-5000</v>
      </c>
      <c r="E163" s="105" t="s">
        <v>1242</v>
      </c>
      <c r="F163" s="105">
        <v>10</v>
      </c>
      <c r="G163" s="36">
        <f t="shared" si="14"/>
        <v>109</v>
      </c>
      <c r="H163" s="105">
        <f t="shared" si="15"/>
        <v>0</v>
      </c>
      <c r="I163" s="105">
        <f t="shared" si="13"/>
        <v>-545000</v>
      </c>
      <c r="J163" s="105">
        <f t="shared" si="16"/>
        <v>0</v>
      </c>
      <c r="K163" s="105">
        <f t="shared" si="17"/>
        <v>-545000</v>
      </c>
    </row>
    <row r="164" spans="1:13" x14ac:dyDescent="0.25">
      <c r="A164" s="105" t="s">
        <v>3703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99</v>
      </c>
      <c r="H164" s="105">
        <f t="shared" si="15"/>
        <v>1</v>
      </c>
      <c r="I164" s="105">
        <f t="shared" si="13"/>
        <v>294000000</v>
      </c>
      <c r="J164" s="105">
        <f t="shared" si="16"/>
        <v>0</v>
      </c>
      <c r="K164" s="105">
        <f t="shared" si="17"/>
        <v>294000000</v>
      </c>
    </row>
    <row r="165" spans="1:13" x14ac:dyDescent="0.25">
      <c r="A165" s="105" t="s">
        <v>3707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98</v>
      </c>
      <c r="H165" s="105">
        <f t="shared" si="15"/>
        <v>1</v>
      </c>
      <c r="I165" s="105">
        <f t="shared" si="13"/>
        <v>291000000</v>
      </c>
      <c r="J165" s="105">
        <f t="shared" si="16"/>
        <v>0</v>
      </c>
      <c r="K165" s="105">
        <f t="shared" si="17"/>
        <v>291000000</v>
      </c>
    </row>
    <row r="166" spans="1:13" x14ac:dyDescent="0.25">
      <c r="A166" s="105" t="s">
        <v>3709</v>
      </c>
      <c r="B166" s="18">
        <v>20314</v>
      </c>
      <c r="C166" s="18">
        <v>59842</v>
      </c>
      <c r="D166" s="18">
        <f t="shared" si="18"/>
        <v>-39528</v>
      </c>
      <c r="E166" s="105" t="s">
        <v>3712</v>
      </c>
      <c r="F166" s="105">
        <v>5</v>
      </c>
      <c r="G166" s="36">
        <f t="shared" si="14"/>
        <v>97</v>
      </c>
      <c r="H166" s="105">
        <f t="shared" si="15"/>
        <v>1</v>
      </c>
      <c r="I166" s="105">
        <f t="shared" si="13"/>
        <v>1950144</v>
      </c>
      <c r="J166" s="105">
        <f t="shared" si="16"/>
        <v>5744832</v>
      </c>
      <c r="K166" s="105">
        <f t="shared" si="17"/>
        <v>-3794688</v>
      </c>
    </row>
    <row r="167" spans="1:13" x14ac:dyDescent="0.25">
      <c r="A167" s="105" t="s">
        <v>3732</v>
      </c>
      <c r="B167" s="18">
        <v>-3000900</v>
      </c>
      <c r="C167" s="18">
        <v>0</v>
      </c>
      <c r="D167" s="18">
        <f t="shared" si="18"/>
        <v>-3000900</v>
      </c>
      <c r="E167" s="105" t="s">
        <v>3733</v>
      </c>
      <c r="F167" s="105">
        <v>18</v>
      </c>
      <c r="G167" s="36">
        <f t="shared" si="14"/>
        <v>92</v>
      </c>
      <c r="H167" s="105">
        <f t="shared" si="15"/>
        <v>0</v>
      </c>
      <c r="I167" s="105">
        <f t="shared" si="13"/>
        <v>-276082800</v>
      </c>
      <c r="J167" s="105">
        <f t="shared" si="16"/>
        <v>0</v>
      </c>
      <c r="K167" s="105">
        <f t="shared" si="17"/>
        <v>-276082800</v>
      </c>
    </row>
    <row r="168" spans="1:13" x14ac:dyDescent="0.25">
      <c r="A168" s="105" t="s">
        <v>3810</v>
      </c>
      <c r="B168" s="18">
        <v>-3000900</v>
      </c>
      <c r="C168" s="18">
        <v>0</v>
      </c>
      <c r="D168" s="18">
        <f t="shared" si="18"/>
        <v>-3000900</v>
      </c>
      <c r="E168" s="105" t="s">
        <v>3811</v>
      </c>
      <c r="F168" s="105">
        <v>8</v>
      </c>
      <c r="G168" s="36">
        <f t="shared" si="14"/>
        <v>74</v>
      </c>
      <c r="H168" s="105">
        <f t="shared" si="15"/>
        <v>0</v>
      </c>
      <c r="I168" s="105">
        <f t="shared" si="13"/>
        <v>-222066600</v>
      </c>
      <c r="J168" s="105">
        <f t="shared" si="16"/>
        <v>0</v>
      </c>
      <c r="K168" s="105">
        <f t="shared" si="17"/>
        <v>-222066600</v>
      </c>
      <c r="M168" t="s">
        <v>25</v>
      </c>
    </row>
    <row r="169" spans="1:13" x14ac:dyDescent="0.25">
      <c r="A169" s="105" t="s">
        <v>3842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66</v>
      </c>
      <c r="H169" s="105">
        <f t="shared" si="15"/>
        <v>1</v>
      </c>
      <c r="I169" s="105">
        <f t="shared" si="13"/>
        <v>1410825</v>
      </c>
      <c r="J169" s="105">
        <f t="shared" si="16"/>
        <v>4453475</v>
      </c>
      <c r="K169" s="105">
        <f t="shared" si="17"/>
        <v>-3042650</v>
      </c>
    </row>
    <row r="170" spans="1:13" x14ac:dyDescent="0.25">
      <c r="A170" s="105" t="s">
        <v>3966</v>
      </c>
      <c r="B170" s="18">
        <v>5000000</v>
      </c>
      <c r="C170" s="18">
        <v>0</v>
      </c>
      <c r="D170" s="18">
        <f t="shared" si="18"/>
        <v>5000000</v>
      </c>
      <c r="E170" s="105" t="s">
        <v>3930</v>
      </c>
      <c r="F170" s="105">
        <v>1</v>
      </c>
      <c r="G170" s="36">
        <f t="shared" si="14"/>
        <v>42</v>
      </c>
      <c r="H170" s="105">
        <f t="shared" si="15"/>
        <v>1</v>
      </c>
      <c r="I170" s="105">
        <f t="shared" si="13"/>
        <v>205000000</v>
      </c>
      <c r="J170" s="105">
        <f t="shared" si="16"/>
        <v>0</v>
      </c>
      <c r="K170" s="105">
        <f t="shared" si="17"/>
        <v>205000000</v>
      </c>
    </row>
    <row r="171" spans="1:13" x14ac:dyDescent="0.25">
      <c r="A171" s="105" t="s">
        <v>3971</v>
      </c>
      <c r="B171" s="18">
        <v>-5000000</v>
      </c>
      <c r="C171" s="18">
        <v>0</v>
      </c>
      <c r="D171" s="18">
        <f t="shared" si="18"/>
        <v>-5000000</v>
      </c>
      <c r="E171" s="105" t="s">
        <v>3972</v>
      </c>
      <c r="F171" s="105">
        <v>6</v>
      </c>
      <c r="G171" s="36">
        <f t="shared" si="14"/>
        <v>41</v>
      </c>
      <c r="H171" s="105">
        <f t="shared" si="15"/>
        <v>0</v>
      </c>
      <c r="I171" s="105">
        <f t="shared" si="13"/>
        <v>-205000000</v>
      </c>
      <c r="J171" s="105">
        <f t="shared" si="16"/>
        <v>0</v>
      </c>
      <c r="K171" s="105">
        <f t="shared" si="17"/>
        <v>-205000000</v>
      </c>
    </row>
    <row r="172" spans="1:13" x14ac:dyDescent="0.25">
      <c r="A172" s="105" t="s">
        <v>4003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35</v>
      </c>
      <c r="H172" s="105">
        <f t="shared" si="15"/>
        <v>1</v>
      </c>
      <c r="I172" s="105">
        <f t="shared" si="13"/>
        <v>16864</v>
      </c>
      <c r="J172" s="105">
        <f t="shared" si="16"/>
        <v>2131154</v>
      </c>
      <c r="K172" s="105">
        <f t="shared" si="17"/>
        <v>-2114290</v>
      </c>
    </row>
    <row r="173" spans="1:13" x14ac:dyDescent="0.25">
      <c r="A173" s="105" t="s">
        <v>4041</v>
      </c>
      <c r="B173" s="18">
        <v>785000</v>
      </c>
      <c r="C173" s="18">
        <v>0</v>
      </c>
      <c r="D173" s="18">
        <f t="shared" si="18"/>
        <v>785000</v>
      </c>
      <c r="E173" s="105" t="s">
        <v>4042</v>
      </c>
      <c r="F173" s="105">
        <v>11</v>
      </c>
      <c r="G173" s="36">
        <f t="shared" si="14"/>
        <v>34</v>
      </c>
      <c r="H173" s="105">
        <f t="shared" si="15"/>
        <v>1</v>
      </c>
      <c r="I173" s="105">
        <f t="shared" si="13"/>
        <v>25905000</v>
      </c>
      <c r="J173" s="105">
        <f t="shared" si="16"/>
        <v>0</v>
      </c>
      <c r="K173" s="105">
        <f t="shared" si="17"/>
        <v>25905000</v>
      </c>
    </row>
    <row r="174" spans="1:13" x14ac:dyDescent="0.25">
      <c r="A174" s="11" t="s">
        <v>4041</v>
      </c>
      <c r="B174" s="18">
        <v>-32000</v>
      </c>
      <c r="C174" s="18">
        <v>0</v>
      </c>
      <c r="D174" s="18">
        <f t="shared" si="18"/>
        <v>-32000</v>
      </c>
      <c r="E174" s="11" t="s">
        <v>4012</v>
      </c>
      <c r="F174" s="11">
        <v>2</v>
      </c>
      <c r="G174" s="36">
        <f t="shared" si="14"/>
        <v>23</v>
      </c>
      <c r="H174" s="105">
        <f t="shared" si="15"/>
        <v>0</v>
      </c>
      <c r="I174" s="105">
        <f t="shared" si="13"/>
        <v>-736000</v>
      </c>
      <c r="J174" s="105">
        <f t="shared" si="16"/>
        <v>0</v>
      </c>
      <c r="K174" s="105">
        <f t="shared" si="17"/>
        <v>-736000</v>
      </c>
    </row>
    <row r="175" spans="1:13" x14ac:dyDescent="0.25">
      <c r="A175" s="105" t="s">
        <v>4043</v>
      </c>
      <c r="B175" s="18">
        <v>-750000</v>
      </c>
      <c r="C175" s="18">
        <v>0</v>
      </c>
      <c r="D175" s="18">
        <f t="shared" si="18"/>
        <v>-750000</v>
      </c>
      <c r="E175" s="105" t="s">
        <v>3808</v>
      </c>
      <c r="F175" s="105">
        <v>9</v>
      </c>
      <c r="G175" s="36">
        <f t="shared" si="14"/>
        <v>21</v>
      </c>
      <c r="H175" s="105">
        <f t="shared" si="15"/>
        <v>0</v>
      </c>
      <c r="I175" s="105">
        <f t="shared" si="13"/>
        <v>-15750000</v>
      </c>
      <c r="J175" s="105">
        <f t="shared" si="16"/>
        <v>0</v>
      </c>
      <c r="K175" s="105">
        <f t="shared" si="17"/>
        <v>-15750000</v>
      </c>
    </row>
    <row r="176" spans="1:13" x14ac:dyDescent="0.25">
      <c r="A176" s="105" t="s">
        <v>4090</v>
      </c>
      <c r="B176" s="18">
        <v>-9396</v>
      </c>
      <c r="C176" s="18">
        <v>0</v>
      </c>
      <c r="D176" s="18">
        <f t="shared" si="18"/>
        <v>-9396</v>
      </c>
      <c r="E176" s="105" t="s">
        <v>4091</v>
      </c>
      <c r="F176" s="105">
        <v>1</v>
      </c>
      <c r="G176" s="36">
        <f t="shared" si="14"/>
        <v>12</v>
      </c>
      <c r="H176" s="105">
        <f t="shared" si="15"/>
        <v>0</v>
      </c>
      <c r="I176" s="105">
        <f t="shared" si="13"/>
        <v>-112752</v>
      </c>
      <c r="J176" s="105">
        <f t="shared" si="16"/>
        <v>0</v>
      </c>
      <c r="K176" s="105">
        <f t="shared" si="17"/>
        <v>-112752</v>
      </c>
    </row>
    <row r="177" spans="1:14" x14ac:dyDescent="0.25">
      <c r="A177" s="105" t="s">
        <v>4094</v>
      </c>
      <c r="B177" s="18">
        <v>-43300</v>
      </c>
      <c r="C177" s="18">
        <v>0</v>
      </c>
      <c r="D177" s="18">
        <f t="shared" si="18"/>
        <v>-43300</v>
      </c>
      <c r="E177" s="105" t="s">
        <v>4096</v>
      </c>
      <c r="F177" s="105">
        <v>3</v>
      </c>
      <c r="G177" s="36">
        <f t="shared" si="14"/>
        <v>11</v>
      </c>
      <c r="H177" s="105">
        <f t="shared" si="15"/>
        <v>0</v>
      </c>
      <c r="I177" s="105">
        <f t="shared" si="13"/>
        <v>-476300</v>
      </c>
      <c r="J177" s="105">
        <f t="shared" si="16"/>
        <v>0</v>
      </c>
      <c r="K177" s="105">
        <f t="shared" si="17"/>
        <v>-476300</v>
      </c>
    </row>
    <row r="178" spans="1:14" x14ac:dyDescent="0.25">
      <c r="A178" s="105" t="s">
        <v>3724</v>
      </c>
      <c r="B178" s="18">
        <v>360000</v>
      </c>
      <c r="C178" s="18">
        <v>0</v>
      </c>
      <c r="D178" s="18">
        <f t="shared" si="18"/>
        <v>360000</v>
      </c>
      <c r="E178" s="105" t="s">
        <v>4108</v>
      </c>
      <c r="F178" s="105">
        <v>2</v>
      </c>
      <c r="G178" s="36">
        <f t="shared" si="14"/>
        <v>8</v>
      </c>
      <c r="H178" s="105">
        <f t="shared" si="15"/>
        <v>1</v>
      </c>
      <c r="I178" s="105">
        <f t="shared" si="13"/>
        <v>2520000</v>
      </c>
      <c r="J178" s="105">
        <f t="shared" si="16"/>
        <v>0</v>
      </c>
      <c r="K178" s="105">
        <f t="shared" si="17"/>
        <v>2520000</v>
      </c>
    </row>
    <row r="179" spans="1:14" x14ac:dyDescent="0.25">
      <c r="A179" s="105" t="s">
        <v>4110</v>
      </c>
      <c r="B179" s="18">
        <v>3000000</v>
      </c>
      <c r="C179" s="18">
        <v>0</v>
      </c>
      <c r="D179" s="18">
        <f t="shared" si="18"/>
        <v>3000000</v>
      </c>
      <c r="E179" s="105" t="s">
        <v>4111</v>
      </c>
      <c r="F179" s="105">
        <v>0</v>
      </c>
      <c r="G179" s="36">
        <f t="shared" si="14"/>
        <v>6</v>
      </c>
      <c r="H179" s="105">
        <f t="shared" si="15"/>
        <v>1</v>
      </c>
      <c r="I179" s="105">
        <f t="shared" si="13"/>
        <v>15000000</v>
      </c>
      <c r="J179" s="105">
        <f t="shared" si="16"/>
        <v>0</v>
      </c>
      <c r="K179" s="105">
        <f t="shared" si="17"/>
        <v>15000000</v>
      </c>
    </row>
    <row r="180" spans="1:14" x14ac:dyDescent="0.25">
      <c r="A180" s="105" t="s">
        <v>4110</v>
      </c>
      <c r="B180" s="18">
        <v>-12050</v>
      </c>
      <c r="C180" s="18">
        <v>0</v>
      </c>
      <c r="D180" s="18">
        <f t="shared" si="18"/>
        <v>-12050</v>
      </c>
      <c r="E180" s="105" t="s">
        <v>4091</v>
      </c>
      <c r="F180" s="105">
        <v>2</v>
      </c>
      <c r="G180" s="36">
        <f t="shared" si="14"/>
        <v>6</v>
      </c>
      <c r="H180" s="105">
        <f t="shared" si="15"/>
        <v>0</v>
      </c>
      <c r="I180" s="105">
        <f t="shared" si="13"/>
        <v>-72300</v>
      </c>
      <c r="J180" s="105">
        <f t="shared" si="16"/>
        <v>0</v>
      </c>
      <c r="K180" s="105">
        <f t="shared" si="17"/>
        <v>-72300</v>
      </c>
    </row>
    <row r="181" spans="1:14" x14ac:dyDescent="0.25">
      <c r="A181" s="105" t="s">
        <v>4118</v>
      </c>
      <c r="B181" s="18">
        <v>3000000</v>
      </c>
      <c r="C181" s="18">
        <v>0</v>
      </c>
      <c r="D181" s="18">
        <f t="shared" si="18"/>
        <v>3000000</v>
      </c>
      <c r="E181" s="105" t="s">
        <v>4119</v>
      </c>
      <c r="F181" s="105">
        <v>2</v>
      </c>
      <c r="G181" s="36">
        <f t="shared" si="14"/>
        <v>4</v>
      </c>
      <c r="H181" s="105">
        <f t="shared" si="15"/>
        <v>1</v>
      </c>
      <c r="I181" s="105">
        <f t="shared" si="13"/>
        <v>9000000</v>
      </c>
      <c r="J181" s="105">
        <f t="shared" si="16"/>
        <v>0</v>
      </c>
      <c r="K181" s="105">
        <f t="shared" si="17"/>
        <v>9000000</v>
      </c>
    </row>
    <row r="182" spans="1:14" x14ac:dyDescent="0.25">
      <c r="A182" s="105" t="s">
        <v>4133</v>
      </c>
      <c r="B182" s="18">
        <v>-35800</v>
      </c>
      <c r="C182" s="18">
        <v>0</v>
      </c>
      <c r="D182" s="18">
        <f t="shared" si="18"/>
        <v>-35800</v>
      </c>
      <c r="E182" s="105" t="s">
        <v>4134</v>
      </c>
      <c r="F182" s="105">
        <v>1</v>
      </c>
      <c r="G182" s="36">
        <f t="shared" si="14"/>
        <v>2</v>
      </c>
      <c r="H182" s="105">
        <f t="shared" si="15"/>
        <v>0</v>
      </c>
      <c r="I182" s="105">
        <f t="shared" si="13"/>
        <v>-71600</v>
      </c>
      <c r="J182" s="105">
        <f t="shared" si="16"/>
        <v>0</v>
      </c>
      <c r="K182" s="105">
        <f t="shared" si="17"/>
        <v>-71600</v>
      </c>
      <c r="N182" t="s">
        <v>25</v>
      </c>
    </row>
    <row r="183" spans="1:14" x14ac:dyDescent="0.25">
      <c r="A183" s="105" t="s">
        <v>4132</v>
      </c>
      <c r="B183" s="18">
        <v>3600000</v>
      </c>
      <c r="C183" s="18">
        <v>0</v>
      </c>
      <c r="D183" s="18">
        <f t="shared" si="18"/>
        <v>3600000</v>
      </c>
      <c r="E183" s="105" t="s">
        <v>4135</v>
      </c>
      <c r="F183" s="105">
        <v>1</v>
      </c>
      <c r="G183" s="36">
        <f t="shared" si="14"/>
        <v>1</v>
      </c>
      <c r="H183" s="105">
        <f t="shared" si="15"/>
        <v>1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9924091</v>
      </c>
      <c r="C207" s="29">
        <f>SUM(C2:C205)</f>
        <v>7835443</v>
      </c>
      <c r="D207" s="29">
        <f>SUM(D2:D205)</f>
        <v>2088648</v>
      </c>
      <c r="E207" s="11"/>
      <c r="F207" s="11"/>
      <c r="G207" s="11"/>
      <c r="H207" s="11"/>
      <c r="I207" s="29">
        <f>SUM(I2:I206)</f>
        <v>18796551288</v>
      </c>
      <c r="J207" s="29">
        <f>SUM(J2:J206)</f>
        <v>7848565769</v>
      </c>
      <c r="K207" s="29">
        <f>SUM(K2:K206)</f>
        <v>10947985519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21655013.004608296</v>
      </c>
      <c r="J210" s="29">
        <f>J207/G2</f>
        <v>9042126.4619815666</v>
      </c>
      <c r="K210" s="29">
        <f>K207/G2</f>
        <v>12612886.542626727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3285287</v>
      </c>
      <c r="G214" t="s">
        <v>25</v>
      </c>
      <c r="J214">
        <f>J207/I207*1448696</f>
        <v>604908.08452432021</v>
      </c>
      <c r="K214">
        <f>K207/I207*1448696</f>
        <v>843787.91547567979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1038</v>
      </c>
      <c r="B61" s="3">
        <v>4172</v>
      </c>
      <c r="C61" s="11" t="s">
        <v>1040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1044</v>
      </c>
      <c r="B62" s="3">
        <v>-161000</v>
      </c>
      <c r="C62" s="11" t="s">
        <v>1052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1057</v>
      </c>
      <c r="B63" s="3">
        <v>-149505</v>
      </c>
      <c r="C63" s="11" t="s">
        <v>1058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1070</v>
      </c>
      <c r="B64" s="3">
        <v>-4940</v>
      </c>
      <c r="C64" s="11" t="s">
        <v>1074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1177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1180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1229</v>
      </c>
      <c r="B67" s="3">
        <v>1000000</v>
      </c>
      <c r="C67" s="11" t="s">
        <v>1234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1245</v>
      </c>
      <c r="B68" s="3">
        <v>-910500</v>
      </c>
      <c r="C68" s="11" t="s">
        <v>1246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1259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1260</v>
      </c>
      <c r="B70" s="119">
        <v>-75000</v>
      </c>
      <c r="C70" s="105" t="s">
        <v>1262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3709</v>
      </c>
      <c r="B71" s="119">
        <v>1471</v>
      </c>
      <c r="C71" s="105" t="s">
        <v>3712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1022</v>
      </c>
    </row>
    <row r="187" spans="1:7" x14ac:dyDescent="0.25">
      <c r="A187" s="11" t="s">
        <v>1021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1022</v>
      </c>
    </row>
    <row r="188" spans="1:7" x14ac:dyDescent="0.25">
      <c r="A188" s="11" t="s">
        <v>1021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1033</v>
      </c>
    </row>
    <row r="189" spans="1:7" x14ac:dyDescent="0.25">
      <c r="A189" s="11" t="s">
        <v>1032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1033</v>
      </c>
    </row>
    <row r="190" spans="1:7" x14ac:dyDescent="0.25">
      <c r="A190" s="11" t="s">
        <v>1032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1022</v>
      </c>
    </row>
    <row r="191" spans="1:7" x14ac:dyDescent="0.25">
      <c r="A191" s="11" t="s">
        <v>1038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1040</v>
      </c>
    </row>
    <row r="192" spans="1:7" x14ac:dyDescent="0.25">
      <c r="A192" s="11" t="s">
        <v>1066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1067</v>
      </c>
    </row>
    <row r="193" spans="1:7" x14ac:dyDescent="0.25">
      <c r="A193" s="11" t="s">
        <v>1077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1078</v>
      </c>
    </row>
    <row r="194" spans="1:7" x14ac:dyDescent="0.25">
      <c r="A194" s="11" t="s">
        <v>1084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1090</v>
      </c>
    </row>
    <row r="195" spans="1:7" x14ac:dyDescent="0.25">
      <c r="A195" s="11" t="s">
        <v>1084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1091</v>
      </c>
    </row>
    <row r="196" spans="1:7" x14ac:dyDescent="0.25">
      <c r="A196" s="11" t="s">
        <v>1084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1092</v>
      </c>
    </row>
    <row r="197" spans="1:7" x14ac:dyDescent="0.25">
      <c r="A197" s="11" t="s">
        <v>1155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1156</v>
      </c>
    </row>
    <row r="198" spans="1:7" x14ac:dyDescent="0.25">
      <c r="A198" s="105" t="s">
        <v>1165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1166</v>
      </c>
    </row>
    <row r="199" spans="1:7" x14ac:dyDescent="0.25">
      <c r="A199" s="105" t="s">
        <v>1165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1175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1177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1188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1192</v>
      </c>
    </row>
    <row r="203" spans="1:7" x14ac:dyDescent="0.25">
      <c r="A203" s="105" t="s">
        <v>1188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1193</v>
      </c>
    </row>
    <row r="204" spans="1:7" x14ac:dyDescent="0.25">
      <c r="A204" s="105" t="s">
        <v>1197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1198</v>
      </c>
    </row>
    <row r="205" spans="1:7" x14ac:dyDescent="0.25">
      <c r="A205" s="105" t="s">
        <v>1199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1204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1205</v>
      </c>
    </row>
    <row r="207" spans="1:7" x14ac:dyDescent="0.25">
      <c r="A207" s="105" t="s">
        <v>1207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1212</v>
      </c>
    </row>
    <row r="208" spans="1:7" x14ac:dyDescent="0.25">
      <c r="A208" s="105" t="s">
        <v>1213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1220</v>
      </c>
    </row>
    <row r="209" spans="1:7" x14ac:dyDescent="0.25">
      <c r="A209" s="105" t="s">
        <v>1229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1235</v>
      </c>
    </row>
    <row r="210" spans="1:7" x14ac:dyDescent="0.25">
      <c r="A210" s="105" t="s">
        <v>1229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1236</v>
      </c>
    </row>
    <row r="211" spans="1:7" x14ac:dyDescent="0.25">
      <c r="A211" s="105" t="s">
        <v>1238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1235</v>
      </c>
    </row>
    <row r="212" spans="1:7" x14ac:dyDescent="0.25">
      <c r="A212" s="105" t="s">
        <v>1241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1244</v>
      </c>
    </row>
    <row r="213" spans="1:7" x14ac:dyDescent="0.25">
      <c r="A213" s="105" t="s">
        <v>1247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1248</v>
      </c>
    </row>
    <row r="214" spans="1:7" x14ac:dyDescent="0.25">
      <c r="A214" s="105" t="s">
        <v>1245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1253</v>
      </c>
    </row>
    <row r="215" spans="1:7" x14ac:dyDescent="0.25">
      <c r="A215" s="105" t="s">
        <v>1260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1263</v>
      </c>
    </row>
    <row r="216" spans="1:7" x14ac:dyDescent="0.25">
      <c r="A216" s="105" t="s">
        <v>1260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1264</v>
      </c>
    </row>
    <row r="217" spans="1:7" x14ac:dyDescent="0.25">
      <c r="A217" s="105" t="s">
        <v>1260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1266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1267</v>
      </c>
    </row>
    <row r="219" spans="1:7" x14ac:dyDescent="0.25">
      <c r="A219" s="105" t="s">
        <v>1279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1280</v>
      </c>
    </row>
    <row r="220" spans="1:7" x14ac:dyDescent="0.25">
      <c r="A220" s="105" t="s">
        <v>1279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1281</v>
      </c>
    </row>
    <row r="221" spans="1:7" x14ac:dyDescent="0.25">
      <c r="A221" s="105" t="s">
        <v>3697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3698</v>
      </c>
    </row>
    <row r="222" spans="1:7" x14ac:dyDescent="0.25">
      <c r="A222" s="105" t="s">
        <v>3699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3701</v>
      </c>
    </row>
    <row r="223" spans="1:7" x14ac:dyDescent="0.25">
      <c r="A223" s="105" t="s">
        <v>3709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3712</v>
      </c>
    </row>
    <row r="224" spans="1:7" x14ac:dyDescent="0.25">
      <c r="A224" s="11" t="s">
        <v>3716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1235</v>
      </c>
    </row>
    <row r="225" spans="1:7" x14ac:dyDescent="0.25">
      <c r="A225" s="11" t="s">
        <v>3732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3733</v>
      </c>
    </row>
    <row r="226" spans="1:7" x14ac:dyDescent="0.25">
      <c r="A226" s="105" t="s">
        <v>3738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3738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3739</v>
      </c>
    </row>
    <row r="228" spans="1:7" x14ac:dyDescent="0.25">
      <c r="A228" s="105" t="s">
        <v>3742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3743</v>
      </c>
    </row>
    <row r="229" spans="1:7" x14ac:dyDescent="0.25">
      <c r="A229" s="105" t="s">
        <v>3742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3745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3746</v>
      </c>
    </row>
    <row r="231" spans="1:7" x14ac:dyDescent="0.25">
      <c r="A231" s="105" t="s">
        <v>3753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3755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3756</v>
      </c>
    </row>
    <row r="233" spans="1:7" x14ac:dyDescent="0.25">
      <c r="A233" s="105" t="s">
        <v>3755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3762</v>
      </c>
    </row>
    <row r="234" spans="1:7" x14ac:dyDescent="0.25">
      <c r="A234" s="105" t="s">
        <v>3769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3795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3796</v>
      </c>
    </row>
    <row r="236" spans="1:7" x14ac:dyDescent="0.25">
      <c r="A236" s="105" t="s">
        <v>1176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3797</v>
      </c>
    </row>
    <row r="237" spans="1:7" x14ac:dyDescent="0.25">
      <c r="A237" s="105" t="s">
        <v>1176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3799</v>
      </c>
    </row>
    <row r="238" spans="1:7" x14ac:dyDescent="0.25">
      <c r="A238" s="105" t="s">
        <v>1176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3802</v>
      </c>
    </row>
    <row r="239" spans="1:7" x14ac:dyDescent="0.25">
      <c r="A239" s="105" t="s">
        <v>3803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3804</v>
      </c>
    </row>
    <row r="240" spans="1:7" x14ac:dyDescent="0.25">
      <c r="A240" s="105" t="s">
        <v>3803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3805</v>
      </c>
    </row>
    <row r="241" spans="1:7" x14ac:dyDescent="0.25">
      <c r="A241" s="105" t="s">
        <v>3820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3821</v>
      </c>
    </row>
    <row r="242" spans="1:7" x14ac:dyDescent="0.25">
      <c r="A242" s="105" t="s">
        <v>3830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3832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3833</v>
      </c>
    </row>
    <row r="244" spans="1:7" x14ac:dyDescent="0.25">
      <c r="A244" s="105" t="s">
        <v>3942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3943</v>
      </c>
    </row>
    <row r="245" spans="1:7" x14ac:dyDescent="0.25">
      <c r="A245" s="105" t="s">
        <v>3951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3952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3954</v>
      </c>
    </row>
    <row r="247" spans="1:7" x14ac:dyDescent="0.25">
      <c r="A247" s="105" t="s">
        <v>3952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3954</v>
      </c>
    </row>
    <row r="248" spans="1:7" x14ac:dyDescent="0.25">
      <c r="A248" s="105" t="s">
        <v>3958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3959</v>
      </c>
    </row>
    <row r="249" spans="1:7" x14ac:dyDescent="0.25">
      <c r="A249" s="74" t="s">
        <v>3977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3930</v>
      </c>
    </row>
    <row r="251" spans="1:7" x14ac:dyDescent="0.25">
      <c r="A251" s="105" t="s">
        <v>3971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3974</v>
      </c>
    </row>
    <row r="252" spans="1:7" x14ac:dyDescent="0.25">
      <c r="A252" s="105" t="s">
        <v>3971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3975</v>
      </c>
    </row>
    <row r="253" spans="1:7" x14ac:dyDescent="0.25">
      <c r="A253" s="105" t="s">
        <v>3971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3975</v>
      </c>
    </row>
    <row r="254" spans="1:7" x14ac:dyDescent="0.25">
      <c r="A254" s="105" t="s">
        <v>3971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3978</v>
      </c>
    </row>
    <row r="255" spans="1:7" x14ac:dyDescent="0.25">
      <c r="A255" s="105" t="s">
        <v>3980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3982</v>
      </c>
    </row>
    <row r="256" spans="1:7" x14ac:dyDescent="0.25">
      <c r="A256" s="105" t="s">
        <v>3980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3796</v>
      </c>
    </row>
    <row r="257" spans="1:7" x14ac:dyDescent="0.25">
      <c r="A257" s="105" t="s">
        <v>3984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3985</v>
      </c>
    </row>
    <row r="258" spans="1:7" x14ac:dyDescent="0.25">
      <c r="A258" s="105" t="s">
        <v>3984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3986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3976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1071</v>
      </c>
      <c r="O6" t="s">
        <v>279</v>
      </c>
      <c r="P6">
        <v>54682</v>
      </c>
      <c r="Q6" s="25" t="s">
        <v>3963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1072</v>
      </c>
      <c r="L10" s="34">
        <v>410021484671</v>
      </c>
      <c r="M10" s="33" t="s">
        <v>1073</v>
      </c>
      <c r="N10" t="s">
        <v>1075</v>
      </c>
      <c r="O10" t="s">
        <v>1076</v>
      </c>
      <c r="P10">
        <v>3781963292</v>
      </c>
      <c r="Q10" s="25" t="s">
        <v>3962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1171</v>
      </c>
      <c r="L13" t="s">
        <v>1168</v>
      </c>
      <c r="N13" t="s">
        <v>1173</v>
      </c>
      <c r="P13" t="s">
        <v>1167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1170</v>
      </c>
      <c r="L14" t="s">
        <v>1169</v>
      </c>
      <c r="M14" t="s">
        <v>1172</v>
      </c>
      <c r="N14" t="s">
        <v>1174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1178</v>
      </c>
      <c r="L17">
        <v>200011228</v>
      </c>
      <c r="M17" t="s">
        <v>1179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4104</v>
      </c>
      <c r="L19" t="s">
        <v>4105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4106</v>
      </c>
      <c r="M20" t="s">
        <v>4107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1016</v>
      </c>
      <c r="B103" s="38">
        <v>295500</v>
      </c>
      <c r="C103" s="73" t="s">
        <v>1017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4010</v>
      </c>
      <c r="B105" s="38">
        <f>SUM(B2:B103)</f>
        <v>59475793</v>
      </c>
      <c r="C105" s="73" t="s">
        <v>4009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1013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1015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1021</v>
      </c>
      <c r="B110" s="38">
        <v>3000000</v>
      </c>
      <c r="C110" s="73" t="s">
        <v>1031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1032</v>
      </c>
      <c r="B111" s="38">
        <v>2000000</v>
      </c>
      <c r="C111" s="73" t="s">
        <v>1031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1032</v>
      </c>
      <c r="B112" s="38">
        <v>-5000000</v>
      </c>
      <c r="C112" s="73" t="s">
        <v>1013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1038</v>
      </c>
      <c r="B113" s="38">
        <v>412668</v>
      </c>
      <c r="C113" s="73" t="s">
        <v>1039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1077</v>
      </c>
      <c r="B114" s="38">
        <v>42000000</v>
      </c>
      <c r="C114" s="73" t="s">
        <v>1078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1084</v>
      </c>
      <c r="B115" s="38">
        <v>-25000000</v>
      </c>
      <c r="C115" s="73" t="s">
        <v>1089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1086</v>
      </c>
      <c r="B116" s="38">
        <v>-200000</v>
      </c>
      <c r="C116" s="73" t="s">
        <v>1111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1118</v>
      </c>
      <c r="B117" s="38">
        <v>-18000000</v>
      </c>
      <c r="C117" s="73" t="s">
        <v>1119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1120</v>
      </c>
      <c r="B118" s="38">
        <v>-2500000</v>
      </c>
      <c r="C118" s="73" t="s">
        <v>1119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1175</v>
      </c>
      <c r="B119" s="38">
        <v>595000</v>
      </c>
      <c r="C119" s="73" t="s">
        <v>1031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1177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1180</v>
      </c>
      <c r="B121" s="38">
        <v>-3200900</v>
      </c>
      <c r="C121" s="73" t="s">
        <v>1181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1188</v>
      </c>
      <c r="B122" s="38">
        <v>16276000</v>
      </c>
      <c r="C122" s="73" t="s">
        <v>1190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1199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1199</v>
      </c>
      <c r="B124" s="38">
        <v>2020000</v>
      </c>
      <c r="C124" s="73" t="s">
        <v>1203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1199</v>
      </c>
      <c r="B125" s="38">
        <v>4975000</v>
      </c>
      <c r="C125" s="73" t="s">
        <v>1200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1213</v>
      </c>
      <c r="B126" s="38">
        <v>-18500000</v>
      </c>
      <c r="C126" s="73" t="s">
        <v>1119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1213</v>
      </c>
      <c r="B127" s="38">
        <v>3000000</v>
      </c>
      <c r="C127" s="73" t="s">
        <v>1219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1213</v>
      </c>
      <c r="B128" s="38">
        <v>-3000900</v>
      </c>
      <c r="C128" s="73" t="s">
        <v>1225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1222</v>
      </c>
      <c r="B129" s="38">
        <v>900000</v>
      </c>
      <c r="C129" s="73" t="s">
        <v>1224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1222</v>
      </c>
      <c r="B130" s="38">
        <v>-3000900</v>
      </c>
      <c r="C130" s="73" t="s">
        <v>1225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1229</v>
      </c>
      <c r="B131" s="38">
        <v>-3000900</v>
      </c>
      <c r="C131" s="73" t="s">
        <v>1237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1238</v>
      </c>
      <c r="B132" s="38">
        <v>-1000500</v>
      </c>
      <c r="C132" s="73" t="s">
        <v>1237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1238</v>
      </c>
      <c r="B133" s="38">
        <v>100000</v>
      </c>
      <c r="C133" s="73" t="s">
        <v>1239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1241</v>
      </c>
      <c r="B134" s="38">
        <v>-200000</v>
      </c>
      <c r="C134" s="73" t="s">
        <v>1242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1245</v>
      </c>
      <c r="B135" s="38">
        <v>-2200000</v>
      </c>
      <c r="C135" s="73" t="s">
        <v>1249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1260</v>
      </c>
      <c r="B136" s="38">
        <v>-905500</v>
      </c>
      <c r="C136" s="73" t="s">
        <v>1261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1270</v>
      </c>
      <c r="B137" s="38">
        <v>1500000</v>
      </c>
      <c r="C137" s="73" t="s">
        <v>1271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3694</v>
      </c>
      <c r="B138" s="38">
        <v>-1000500</v>
      </c>
      <c r="C138" s="73" t="s">
        <v>1253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3694</v>
      </c>
      <c r="B139" s="38">
        <v>-365000</v>
      </c>
      <c r="C139" s="73" t="s">
        <v>3696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3699</v>
      </c>
      <c r="B140" s="38">
        <v>23000000</v>
      </c>
      <c r="C140" s="73" t="s">
        <v>3700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3702</v>
      </c>
      <c r="B141" s="38">
        <v>1800000</v>
      </c>
      <c r="C141" s="73" t="s">
        <v>3700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3715</v>
      </c>
      <c r="B142" s="38">
        <v>200000</v>
      </c>
      <c r="C142" s="73" t="s">
        <v>3700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3703</v>
      </c>
      <c r="B143" s="38">
        <v>-3200900</v>
      </c>
      <c r="C143" s="73" t="s">
        <v>3704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3707</v>
      </c>
      <c r="B144" s="38">
        <v>-3020900</v>
      </c>
      <c r="C144" s="73" t="s">
        <v>3708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3709</v>
      </c>
      <c r="B145" s="38">
        <v>72533</v>
      </c>
      <c r="C145" s="73" t="s">
        <v>3712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3716</v>
      </c>
      <c r="B146" s="38">
        <v>-3000900</v>
      </c>
      <c r="C146" s="73" t="s">
        <v>1237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3732</v>
      </c>
      <c r="B147" s="38">
        <v>-3001400</v>
      </c>
      <c r="C147" s="73" t="s">
        <v>3734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3732</v>
      </c>
      <c r="B148" s="38">
        <v>-216910</v>
      </c>
      <c r="C148" s="73" t="s">
        <v>3737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3738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3751</v>
      </c>
      <c r="B150" s="38">
        <v>5900000</v>
      </c>
      <c r="C150" s="73" t="s">
        <v>3752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3806</v>
      </c>
      <c r="B151" s="38">
        <v>17000000</v>
      </c>
      <c r="C151" s="73" t="s">
        <v>3807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3806</v>
      </c>
      <c r="B152" s="38">
        <v>-1000</v>
      </c>
      <c r="C152" s="73" t="s">
        <v>3808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3810</v>
      </c>
      <c r="B153" s="38">
        <v>3000000</v>
      </c>
      <c r="C153" s="73" t="s">
        <v>3813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3810</v>
      </c>
      <c r="B154" s="38">
        <v>-18011000</v>
      </c>
      <c r="C154" s="73" t="s">
        <v>3815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3810</v>
      </c>
      <c r="B155" s="38">
        <v>-15600000</v>
      </c>
      <c r="C155" s="73" t="s">
        <v>3814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3810</v>
      </c>
      <c r="B156" s="38">
        <v>-1400500</v>
      </c>
      <c r="C156" s="73" t="s">
        <v>3816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3810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3818</v>
      </c>
      <c r="B158" s="38">
        <v>3000000</v>
      </c>
      <c r="C158" s="73" t="s">
        <v>3819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3825</v>
      </c>
      <c r="B159" s="38">
        <v>1000000</v>
      </c>
      <c r="C159" s="73" t="s">
        <v>3700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3824</v>
      </c>
      <c r="B160" s="38">
        <v>-4500000</v>
      </c>
      <c r="C160" s="73" t="s">
        <v>3826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3824</v>
      </c>
      <c r="B161" s="38">
        <v>3000000</v>
      </c>
      <c r="C161" s="73" t="s">
        <v>3827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3824</v>
      </c>
      <c r="B162" s="38">
        <v>-3000000</v>
      </c>
      <c r="C162" s="73" t="s">
        <v>3826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3842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3839</v>
      </c>
      <c r="B164" s="38">
        <v>1160000</v>
      </c>
      <c r="C164" s="73" t="s">
        <v>3846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3843</v>
      </c>
      <c r="B165" s="38">
        <v>-526350</v>
      </c>
      <c r="C165" s="73" t="s">
        <v>3844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3917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3921</v>
      </c>
      <c r="B167" s="38">
        <v>785000</v>
      </c>
      <c r="C167" s="73" t="s">
        <v>3924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3921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3925</v>
      </c>
      <c r="B169" s="38">
        <v>-450000</v>
      </c>
      <c r="C169" s="73" t="s">
        <v>1119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3925</v>
      </c>
      <c r="B170" s="38">
        <v>3000000</v>
      </c>
      <c r="C170" s="73" t="s">
        <v>3930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3925</v>
      </c>
      <c r="B171" s="38">
        <v>-35000</v>
      </c>
      <c r="C171" s="73" t="s">
        <v>3933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3934</v>
      </c>
      <c r="B172" s="38">
        <v>2500000</v>
      </c>
      <c r="C172" s="73" t="s">
        <v>3930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3938</v>
      </c>
      <c r="B173" s="38">
        <v>-130640</v>
      </c>
      <c r="C173" s="73" t="s">
        <v>3939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3952</v>
      </c>
      <c r="B174" s="38">
        <v>-4800000</v>
      </c>
      <c r="C174" s="73" t="s">
        <v>3953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3952</v>
      </c>
      <c r="B175" s="38">
        <v>-320000</v>
      </c>
      <c r="C175" s="73" t="s">
        <v>3954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3952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3993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3993</v>
      </c>
      <c r="B178" s="38">
        <v>-100000</v>
      </c>
      <c r="C178" s="73" t="s">
        <v>3994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4003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4007</v>
      </c>
      <c r="B180" s="38">
        <v>-39030</v>
      </c>
      <c r="C180" s="73" t="s">
        <v>4008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4013</v>
      </c>
      <c r="B181" s="38">
        <v>-32000</v>
      </c>
      <c r="C181" s="73" t="s">
        <v>4014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4019</v>
      </c>
      <c r="B183" s="38">
        <v>-20000</v>
      </c>
      <c r="C183" s="73" t="s">
        <v>4020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994</v>
      </c>
      <c r="B184" s="38">
        <v>-8185</v>
      </c>
      <c r="C184" s="73" t="s">
        <v>4023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4028</v>
      </c>
      <c r="B185" s="38">
        <v>-60100</v>
      </c>
      <c r="C185" s="73" t="s">
        <v>4029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4077</v>
      </c>
      <c r="B188" s="38">
        <v>-16000</v>
      </c>
      <c r="C188" s="73" t="s">
        <v>4078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4080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4088</v>
      </c>
      <c r="B190" s="38">
        <v>-10350</v>
      </c>
      <c r="C190" s="73" t="s">
        <v>4089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G4" zoomScaleNormal="100" workbookViewId="0">
      <selection activeCell="AA29" sqref="AA2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1129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1187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3711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3831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2088648</v>
      </c>
      <c r="P17" s="28"/>
      <c r="Q17" s="195">
        <v>74302282</v>
      </c>
      <c r="R17" s="194" t="s">
        <v>4068</v>
      </c>
      <c r="S17" s="194">
        <v>4</v>
      </c>
      <c r="T17" s="194" t="s">
        <v>4125</v>
      </c>
      <c r="U17" s="121"/>
      <c r="V17" s="122"/>
      <c r="W17" s="121"/>
      <c r="X17" s="121"/>
    </row>
    <row r="18" spans="1:2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4136</v>
      </c>
      <c r="K19" s="2" t="s">
        <v>85</v>
      </c>
      <c r="L19" s="43">
        <f>-شهریور97!D59</f>
        <v>11238636</v>
      </c>
      <c r="M19" s="2" t="s">
        <v>4001</v>
      </c>
      <c r="N19" s="3">
        <f>1608*P28</f>
        <v>5415744</v>
      </c>
      <c r="O19" s="188" t="s">
        <v>4069</v>
      </c>
      <c r="R19" s="121"/>
      <c r="S19" s="121"/>
      <c r="T19" s="121"/>
      <c r="U19" s="121"/>
      <c r="V19" s="128"/>
      <c r="W19" s="122"/>
      <c r="X19" s="121"/>
    </row>
    <row r="20" spans="1:2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106625075</v>
      </c>
      <c r="G20" s="29">
        <f t="shared" si="0"/>
        <v>1440777.2381931096</v>
      </c>
      <c r="H20" s="11" t="s">
        <v>4137</v>
      </c>
      <c r="K20" s="2" t="s">
        <v>456</v>
      </c>
      <c r="L20" s="43">
        <v>120000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-11238636</v>
      </c>
      <c r="R21" s="121"/>
      <c r="S21" s="122"/>
      <c r="T21" s="121"/>
      <c r="U21" s="121"/>
      <c r="V21" s="121"/>
      <c r="W21" s="121"/>
      <c r="X21" s="121"/>
    </row>
    <row r="22" spans="1:2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400000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8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1093</v>
      </c>
      <c r="L24" s="43">
        <f>سکه!T22</f>
        <v>91000000</v>
      </c>
      <c r="M24" s="2" t="s">
        <v>4006</v>
      </c>
      <c r="N24" s="3">
        <v>3800000</v>
      </c>
      <c r="R24" s="121"/>
      <c r="S24" s="121"/>
      <c r="T24" s="121"/>
      <c r="U24" s="121"/>
      <c r="V24" s="121"/>
      <c r="W24" s="121"/>
      <c r="X24" s="121"/>
    </row>
    <row r="25" spans="1:2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1093</v>
      </c>
      <c r="N25" s="3">
        <v>106500000</v>
      </c>
      <c r="Z25" t="s">
        <v>4123</v>
      </c>
      <c r="AA25">
        <v>165</v>
      </c>
      <c r="AB25">
        <v>414107</v>
      </c>
    </row>
    <row r="26" spans="1:2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  <c r="Z26" t="s">
        <v>4124</v>
      </c>
      <c r="AA26">
        <v>3357</v>
      </c>
      <c r="AB26">
        <v>20000</v>
      </c>
    </row>
    <row r="27" spans="1:2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3927</v>
      </c>
      <c r="N27" s="119">
        <v>673</v>
      </c>
      <c r="O27" s="105" t="s">
        <v>941</v>
      </c>
      <c r="P27" s="105" t="s">
        <v>3969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1184</v>
      </c>
      <c r="L28" s="123">
        <v>25600</v>
      </c>
      <c r="M28" s="118" t="s">
        <v>4025</v>
      </c>
      <c r="N28" s="119">
        <f>O28*P28</f>
        <v>26523000</v>
      </c>
      <c r="O28" s="105">
        <v>7875</v>
      </c>
      <c r="P28" s="105">
        <v>3368</v>
      </c>
      <c r="Q28" s="38">
        <v>2458039</v>
      </c>
      <c r="R28" s="118" t="s">
        <v>3952</v>
      </c>
      <c r="S28" s="118">
        <v>41</v>
      </c>
      <c r="T28" s="73" t="s">
        <v>4052</v>
      </c>
      <c r="U28" s="119">
        <f>Q28*0.02*S28/31</f>
        <v>65019.096129032259</v>
      </c>
    </row>
    <row r="29" spans="1:2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1185</v>
      </c>
      <c r="L29" s="123">
        <v>7637</v>
      </c>
      <c r="M29" s="32" t="s">
        <v>4114</v>
      </c>
      <c r="N29" s="119">
        <f>O29*P29</f>
        <v>49796212.100000001</v>
      </c>
      <c r="O29" s="105">
        <v>304937</v>
      </c>
      <c r="P29" s="105">
        <v>163.30000000000001</v>
      </c>
      <c r="Q29" s="38">
        <v>20511631</v>
      </c>
      <c r="R29" s="118" t="s">
        <v>4068</v>
      </c>
      <c r="S29" s="118">
        <f>S28-27</f>
        <v>14</v>
      </c>
      <c r="T29" s="118" t="s">
        <v>4127</v>
      </c>
      <c r="U29" s="119"/>
    </row>
    <row r="30" spans="1:2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4068</v>
      </c>
      <c r="S30" s="118">
        <f>S29</f>
        <v>14</v>
      </c>
      <c r="T30" s="118" t="s">
        <v>4070</v>
      </c>
      <c r="U30" s="119"/>
    </row>
    <row r="31" spans="1:2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3988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4083</v>
      </c>
      <c r="S31">
        <f>S30-1</f>
        <v>13</v>
      </c>
      <c r="T31" s="8" t="s">
        <v>4082</v>
      </c>
      <c r="U31" s="119"/>
      <c r="W31">
        <v>3495</v>
      </c>
      <c r="X31">
        <f>W31/1.0103</f>
        <v>3459.3685044046324</v>
      </c>
      <c r="Y31">
        <f>X31/165.0652</f>
        <v>20.95758830089342</v>
      </c>
      <c r="Z31">
        <f>Y31/1.0049</f>
        <v>20.855396856297563</v>
      </c>
      <c r="AA31">
        <f>Z31*20000</f>
        <v>417107.93712595128</v>
      </c>
    </row>
    <row r="32" spans="1:2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P32" s="105"/>
      <c r="Q32" s="38">
        <v>793693</v>
      </c>
      <c r="R32" s="118" t="s">
        <v>4080</v>
      </c>
      <c r="S32" s="118">
        <f>S31-3</f>
        <v>10</v>
      </c>
      <c r="T32" s="118" t="s">
        <v>4081</v>
      </c>
      <c r="U32" s="119"/>
      <c r="AA32">
        <f>AA31*AA25/1.0103</f>
        <v>68121161.660677001</v>
      </c>
    </row>
    <row r="33" spans="1:27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>
        <v>50604961</v>
      </c>
      <c r="R33" s="118" t="s">
        <v>4110</v>
      </c>
      <c r="S33" s="118">
        <f>S32-10</f>
        <v>0</v>
      </c>
      <c r="T33" s="118" t="s">
        <v>4126</v>
      </c>
      <c r="AA33">
        <f>AA32/(AA26*1.0049)</f>
        <v>20193.326059673404</v>
      </c>
    </row>
    <row r="34" spans="1:27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4075</v>
      </c>
      <c r="N34" s="123">
        <f>-840*P28</f>
        <v>-2829120</v>
      </c>
      <c r="O34" s="105"/>
      <c r="P34" s="105"/>
      <c r="Q34" s="118"/>
      <c r="R34" s="118"/>
      <c r="S34" s="118"/>
      <c r="T34" s="118"/>
      <c r="AA34" s="119">
        <f>(20000-AA33)*AA26</f>
        <v>-648995.58232361556</v>
      </c>
    </row>
    <row r="35" spans="1:27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SUM(N28:N33)-SUM(Q28:Q33)</f>
        <v>-2144518.900000006</v>
      </c>
      <c r="R35" s="118"/>
      <c r="S35" s="118"/>
      <c r="T35" s="118"/>
    </row>
    <row r="36" spans="1:27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O36" t="s">
        <v>4097</v>
      </c>
    </row>
    <row r="37" spans="1:27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106625075</v>
      </c>
      <c r="M37" s="2"/>
      <c r="N37" s="3">
        <f>SUM(N16:N35)</f>
        <v>184674826.09999999</v>
      </c>
    </row>
    <row r="38" spans="1:27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186439</v>
      </c>
      <c r="M38" s="2"/>
      <c r="N38" s="3">
        <f>N16+N17+N22</f>
        <v>2506953</v>
      </c>
      <c r="O38" t="s">
        <v>25</v>
      </c>
      <c r="Q38" t="s">
        <v>25</v>
      </c>
    </row>
    <row r="39" spans="1:27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163625075</v>
      </c>
      <c r="M39" s="3"/>
      <c r="N39" s="2"/>
      <c r="R39" t="s">
        <v>25</v>
      </c>
      <c r="T39" t="s">
        <v>25</v>
      </c>
      <c r="U39" t="s">
        <v>4030</v>
      </c>
    </row>
    <row r="40" spans="1:27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t="s">
        <v>4117</v>
      </c>
      <c r="Q40" t="s">
        <v>25</v>
      </c>
      <c r="R40" t="s">
        <v>25</v>
      </c>
      <c r="U40" t="s">
        <v>4031</v>
      </c>
    </row>
    <row r="41" spans="1:27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4032</v>
      </c>
    </row>
    <row r="42" spans="1:27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4033</v>
      </c>
    </row>
    <row r="43" spans="1:27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4034</v>
      </c>
    </row>
    <row r="44" spans="1:27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s="118" t="s">
        <v>1142</v>
      </c>
      <c r="R44" s="118"/>
      <c r="U44" t="s">
        <v>4035</v>
      </c>
    </row>
    <row r="45" spans="1:27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s="118" t="s">
        <v>267</v>
      </c>
      <c r="R45" s="118" t="s">
        <v>1157</v>
      </c>
      <c r="U45" s="186" t="s">
        <v>4036</v>
      </c>
    </row>
    <row r="46" spans="1:27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Q46" s="14">
        <v>125000</v>
      </c>
      <c r="R46" s="118" t="s">
        <v>1158</v>
      </c>
      <c r="U46" t="s">
        <v>4037</v>
      </c>
    </row>
    <row r="47" spans="1:27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Q47" s="14">
        <v>-6000000</v>
      </c>
      <c r="R47" s="118" t="s">
        <v>1159</v>
      </c>
      <c r="U47" t="s">
        <v>4038</v>
      </c>
    </row>
    <row r="48" spans="1:27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P48" t="s">
        <v>3991</v>
      </c>
      <c r="Q48" s="14">
        <f>مرداد97!C24</f>
        <v>7835443</v>
      </c>
      <c r="R48" s="118" t="s">
        <v>1160</v>
      </c>
      <c r="U48" t="s">
        <v>4039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4">
        <v>57600000</v>
      </c>
      <c r="R49" s="56" t="s">
        <v>3754</v>
      </c>
      <c r="U49" t="s">
        <v>4040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P50" t="s">
        <v>3991</v>
      </c>
      <c r="Q50" s="14">
        <v>2000000</v>
      </c>
      <c r="R50" s="56" t="s">
        <v>1161</v>
      </c>
      <c r="U50" t="s">
        <v>4072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23">
        <v>2000000</v>
      </c>
      <c r="R52" s="56" t="s">
        <v>1162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23">
        <v>4000000</v>
      </c>
      <c r="R53" s="56" t="s">
        <v>3992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2500000</v>
      </c>
      <c r="R54" s="56" t="s">
        <v>1153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v>3000000</v>
      </c>
      <c r="R55" s="56" t="s">
        <v>3944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1164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1273</v>
      </c>
      <c r="P68" t="s">
        <v>180</v>
      </c>
      <c r="Q68" t="s">
        <v>952</v>
      </c>
      <c r="R68" t="s">
        <v>4061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4059</v>
      </c>
      <c r="O69">
        <v>3452.8</v>
      </c>
      <c r="P69" t="s">
        <v>4057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4060</v>
      </c>
      <c r="O70">
        <v>185</v>
      </c>
      <c r="P70" s="121" t="s">
        <v>4057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4060</v>
      </c>
      <c r="O71">
        <v>193.8</v>
      </c>
      <c r="P71" s="134" t="s">
        <v>4055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4054</v>
      </c>
      <c r="O72" s="121">
        <v>603.79999999999995</v>
      </c>
      <c r="P72" s="134" t="s">
        <v>4055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4054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4059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1043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4064</v>
      </c>
      <c r="O77">
        <v>5.8109999999999999</v>
      </c>
      <c r="P77">
        <f>O77/1.0152</f>
        <v>5.7239952718676115</v>
      </c>
      <c r="Q77" s="22" t="s">
        <v>4065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4062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4063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1038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1044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1086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1195</v>
      </c>
      <c r="B16" s="119">
        <v>-694356</v>
      </c>
      <c r="C16" s="105" t="s">
        <v>1196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1207</v>
      </c>
      <c r="B17" s="119">
        <v>50000</v>
      </c>
      <c r="C17" s="105" t="s">
        <v>1221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3709</v>
      </c>
      <c r="B18" s="119">
        <v>1047</v>
      </c>
      <c r="C18" s="105" t="s">
        <v>3712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3745</v>
      </c>
      <c r="B19" s="119">
        <v>785500</v>
      </c>
      <c r="C19" s="105" t="s">
        <v>3749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3842</v>
      </c>
      <c r="B20" s="119">
        <v>-57500</v>
      </c>
      <c r="C20" s="105" t="s">
        <v>1023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3842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3956</v>
      </c>
      <c r="B22" s="119">
        <v>-85000</v>
      </c>
      <c r="C22" s="105" t="s">
        <v>3967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3934</v>
      </c>
      <c r="B23" s="119">
        <v>-180000</v>
      </c>
      <c r="C23" s="105" t="s">
        <v>3967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3934</v>
      </c>
      <c r="B24" s="119">
        <v>-69000</v>
      </c>
      <c r="C24" s="105" t="s">
        <v>3967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3952</v>
      </c>
      <c r="B25" s="119">
        <v>-8600</v>
      </c>
      <c r="C25" s="105" t="s">
        <v>3967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3952</v>
      </c>
      <c r="B26" s="119">
        <v>-40000</v>
      </c>
      <c r="C26" s="105" t="s">
        <v>3967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3952</v>
      </c>
      <c r="B27" s="119">
        <v>-92500</v>
      </c>
      <c r="C27" s="105" t="s">
        <v>3967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3952</v>
      </c>
      <c r="B28" s="119">
        <v>-47000</v>
      </c>
      <c r="C28" s="105" t="s">
        <v>3967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3957</v>
      </c>
      <c r="B29" s="119">
        <v>-77500</v>
      </c>
      <c r="C29" s="105" t="s">
        <v>3967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3957</v>
      </c>
      <c r="B30" s="119">
        <v>-57000</v>
      </c>
      <c r="C30" s="105" t="s">
        <v>3967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3957</v>
      </c>
      <c r="B31" s="119">
        <v>-45000</v>
      </c>
      <c r="C31" s="105" t="s">
        <v>3967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3957</v>
      </c>
      <c r="B32" s="119">
        <v>-30000</v>
      </c>
      <c r="C32" s="105" t="s">
        <v>3967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3966</v>
      </c>
      <c r="B33" s="119">
        <v>1000000</v>
      </c>
      <c r="C33" s="105" t="s">
        <v>3930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3971</v>
      </c>
      <c r="B34" s="119">
        <v>-79700</v>
      </c>
      <c r="C34" s="105" t="s">
        <v>3967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4102</v>
      </c>
      <c r="B35" s="119">
        <v>-1187</v>
      </c>
      <c r="C35" s="105" t="s">
        <v>3967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4017</v>
      </c>
      <c r="B36" s="119">
        <v>-55262</v>
      </c>
      <c r="C36" s="105" t="s">
        <v>3967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4019</v>
      </c>
      <c r="B37" s="119">
        <v>-15700</v>
      </c>
      <c r="C37" s="105" t="s">
        <v>3967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4103</v>
      </c>
      <c r="B38" s="119">
        <v>-176000</v>
      </c>
      <c r="C38" s="105" t="s">
        <v>3967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4055</v>
      </c>
      <c r="B39" s="119">
        <v>-68600</v>
      </c>
      <c r="C39" s="105" t="s">
        <v>3967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4101</v>
      </c>
      <c r="B40" s="119">
        <v>-3540</v>
      </c>
      <c r="C40" s="105" t="s">
        <v>3967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4099</v>
      </c>
      <c r="B41" s="119">
        <v>-315101</v>
      </c>
      <c r="C41" s="105" t="s">
        <v>4100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3724</v>
      </c>
      <c r="B42" s="119">
        <v>-416000</v>
      </c>
      <c r="C42" s="105" t="s">
        <v>4109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1044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1113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1044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1113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1113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1113</v>
      </c>
      <c r="I45" s="11">
        <v>231000</v>
      </c>
      <c r="J45" s="11" t="s">
        <v>1112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1014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1038</v>
      </c>
      <c r="B6" s="18">
        <v>252436</v>
      </c>
      <c r="C6" s="18">
        <v>65510</v>
      </c>
      <c r="D6" s="3">
        <f t="shared" si="0"/>
        <v>186926</v>
      </c>
      <c r="E6" s="19" t="s">
        <v>1040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1012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1030</v>
      </c>
    </row>
    <row r="36" spans="4:17" x14ac:dyDescent="0.25">
      <c r="D36" s="42">
        <v>245000</v>
      </c>
      <c r="E36" s="41" t="s">
        <v>1030</v>
      </c>
    </row>
    <row r="37" spans="4:17" x14ac:dyDescent="0.25">
      <c r="D37" s="7">
        <v>-25000</v>
      </c>
      <c r="E37" s="41" t="s">
        <v>1034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1084</v>
      </c>
      <c r="B4" s="18">
        <v>-52000000</v>
      </c>
      <c r="C4" s="18">
        <v>0</v>
      </c>
      <c r="D4" s="3">
        <f t="shared" si="0"/>
        <v>-52000000</v>
      </c>
      <c r="E4" s="11" t="s">
        <v>1088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1130</v>
      </c>
      <c r="B5" s="18">
        <v>-8000000</v>
      </c>
      <c r="C5" s="18">
        <v>-6772131</v>
      </c>
      <c r="D5" s="3">
        <f t="shared" si="0"/>
        <v>-1227869</v>
      </c>
      <c r="E5" s="20" t="s">
        <v>1014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1130</v>
      </c>
      <c r="B6" s="18">
        <v>-31230</v>
      </c>
      <c r="C6" s="18">
        <v>0</v>
      </c>
      <c r="D6" s="3">
        <f t="shared" si="0"/>
        <v>-31230</v>
      </c>
      <c r="E6" s="19" t="s">
        <v>1131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1177</v>
      </c>
      <c r="B7" s="39">
        <v>135087</v>
      </c>
      <c r="C7" s="39">
        <v>41130</v>
      </c>
      <c r="D7" s="35">
        <f t="shared" si="0"/>
        <v>93957</v>
      </c>
      <c r="E7" s="5" t="s">
        <v>1186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1080</v>
      </c>
      <c r="G31" s="9" t="s">
        <v>1041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1056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1079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1110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1138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1139</v>
      </c>
    </row>
    <row r="37" spans="4:17" x14ac:dyDescent="0.25">
      <c r="D37" s="7">
        <v>-65500</v>
      </c>
      <c r="E37" s="41" t="s">
        <v>1154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1177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1188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1207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1207</v>
      </c>
      <c r="B5" s="18">
        <v>-247840</v>
      </c>
      <c r="C5" s="18">
        <v>0</v>
      </c>
      <c r="D5" s="119">
        <f t="shared" si="0"/>
        <v>-247840</v>
      </c>
      <c r="E5" s="20" t="s">
        <v>1210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1213</v>
      </c>
      <c r="B6" s="18">
        <v>-162340</v>
      </c>
      <c r="C6" s="18">
        <v>0</v>
      </c>
      <c r="D6" s="119">
        <f t="shared" si="0"/>
        <v>-162340</v>
      </c>
      <c r="E6" s="19" t="s">
        <v>1216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1213</v>
      </c>
      <c r="B7" s="18">
        <v>-3000900</v>
      </c>
      <c r="C7" s="18">
        <v>0</v>
      </c>
      <c r="D7" s="119">
        <f t="shared" si="0"/>
        <v>-3000900</v>
      </c>
      <c r="E7" s="19" t="s">
        <v>1217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1229</v>
      </c>
      <c r="B8" s="18">
        <v>-1000500</v>
      </c>
      <c r="C8" s="18">
        <v>0</v>
      </c>
      <c r="D8" s="119">
        <f t="shared" si="0"/>
        <v>-1000500</v>
      </c>
      <c r="E8" s="19" t="s">
        <v>1231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1241</v>
      </c>
      <c r="B9" s="18">
        <v>-100000</v>
      </c>
      <c r="C9" s="18">
        <v>0</v>
      </c>
      <c r="D9" s="119">
        <f t="shared" si="0"/>
        <v>-100000</v>
      </c>
      <c r="E9" s="21" t="s">
        <v>1242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1245</v>
      </c>
      <c r="B10" s="18">
        <v>-2000000</v>
      </c>
      <c r="C10" s="18">
        <v>0</v>
      </c>
      <c r="D10" s="119">
        <f t="shared" si="0"/>
        <v>-2000000</v>
      </c>
      <c r="E10" s="19" t="s">
        <v>1119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1245</v>
      </c>
      <c r="B11" s="18">
        <v>-1000500</v>
      </c>
      <c r="C11" s="18">
        <v>0</v>
      </c>
      <c r="D11" s="119">
        <f t="shared" si="0"/>
        <v>-1000500</v>
      </c>
      <c r="E11" s="19" t="s">
        <v>1253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1260</v>
      </c>
      <c r="B12" s="18">
        <v>-5000</v>
      </c>
      <c r="C12" s="18">
        <v>0</v>
      </c>
      <c r="D12" s="119">
        <f t="shared" si="0"/>
        <v>-5000</v>
      </c>
      <c r="E12" s="20" t="s">
        <v>1242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3703</v>
      </c>
      <c r="B13" s="18">
        <v>3000000</v>
      </c>
      <c r="C13" s="18">
        <v>0</v>
      </c>
      <c r="D13" s="119">
        <f t="shared" si="0"/>
        <v>3000000</v>
      </c>
      <c r="E13" s="20" t="s">
        <v>3706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3707</v>
      </c>
      <c r="B14" s="18">
        <v>3000000</v>
      </c>
      <c r="C14" s="18">
        <v>0</v>
      </c>
      <c r="D14" s="119">
        <f t="shared" si="0"/>
        <v>3000000</v>
      </c>
      <c r="E14" s="20" t="s">
        <v>3706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3709</v>
      </c>
      <c r="B15" s="39">
        <v>20314</v>
      </c>
      <c r="C15" s="39">
        <v>59842</v>
      </c>
      <c r="D15" s="35">
        <f t="shared" si="0"/>
        <v>-39528</v>
      </c>
      <c r="E15" s="23" t="s">
        <v>3712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1182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1191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1201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1211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1252</v>
      </c>
    </row>
    <row r="51" spans="1:18" x14ac:dyDescent="0.25">
      <c r="D51" s="120">
        <v>1000000</v>
      </c>
      <c r="E51" s="41" t="s">
        <v>1254</v>
      </c>
    </row>
    <row r="52" spans="1:18" x14ac:dyDescent="0.25">
      <c r="D52" s="120">
        <v>910500</v>
      </c>
      <c r="E52" s="41" t="s">
        <v>1265</v>
      </c>
    </row>
    <row r="53" spans="1:18" x14ac:dyDescent="0.25">
      <c r="D53" s="120">
        <v>-300000</v>
      </c>
      <c r="E53" s="41" t="s">
        <v>1268</v>
      </c>
    </row>
    <row r="54" spans="1:18" x14ac:dyDescent="0.25">
      <c r="D54" s="120">
        <v>-58500</v>
      </c>
      <c r="E54" s="41" t="s">
        <v>1269</v>
      </c>
    </row>
    <row r="55" spans="1:18" x14ac:dyDescent="0.25">
      <c r="D55" s="120">
        <v>-1500000</v>
      </c>
      <c r="E55" s="41" t="s">
        <v>1272</v>
      </c>
    </row>
    <row r="56" spans="1:18" x14ac:dyDescent="0.25">
      <c r="D56" s="120">
        <v>-61000</v>
      </c>
      <c r="E56" s="41" t="s">
        <v>1276</v>
      </c>
    </row>
    <row r="57" spans="1:18" x14ac:dyDescent="0.25">
      <c r="D57" s="120">
        <v>1000000</v>
      </c>
      <c r="E57" s="41" t="s">
        <v>3695</v>
      </c>
    </row>
    <row r="58" spans="1:18" x14ac:dyDescent="0.25">
      <c r="D58" s="120">
        <v>200000</v>
      </c>
      <c r="E58" s="41" t="s">
        <v>3705</v>
      </c>
    </row>
    <row r="59" spans="1:18" x14ac:dyDescent="0.25">
      <c r="D59" s="120">
        <v>3000000</v>
      </c>
      <c r="E59" s="41" t="s">
        <v>3710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3709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3810</v>
      </c>
      <c r="B4" s="18">
        <v>-3000900</v>
      </c>
      <c r="C4" s="18">
        <v>0</v>
      </c>
      <c r="D4" s="119">
        <f t="shared" si="0"/>
        <v>-3000900</v>
      </c>
      <c r="E4" s="105" t="s">
        <v>3812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3741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3801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3817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3841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3845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3830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3930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3971</v>
      </c>
      <c r="B4" s="18">
        <v>-5000000</v>
      </c>
      <c r="C4" s="18">
        <v>0</v>
      </c>
      <c r="D4" s="119">
        <f t="shared" si="0"/>
        <v>-5000000</v>
      </c>
      <c r="E4" s="105" t="s">
        <v>3972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4003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3918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3948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3950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3955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3960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3981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4000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>
      <selection activeCell="C25" sqref="C25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3830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4041</v>
      </c>
      <c r="B3" s="18">
        <v>785000</v>
      </c>
      <c r="C3" s="18">
        <v>0</v>
      </c>
      <c r="D3" s="123">
        <f t="shared" ref="D3:D22" si="0">B3-C3</f>
        <v>785000</v>
      </c>
      <c r="E3" s="20" t="s">
        <v>1031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4108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4112</v>
      </c>
      <c r="B9" s="18">
        <v>3000000</v>
      </c>
      <c r="C9" s="18">
        <v>0</v>
      </c>
      <c r="D9" s="119">
        <f t="shared" si="0"/>
        <v>3000000</v>
      </c>
      <c r="E9" s="21" t="s">
        <v>4111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4110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4011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4012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4021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4022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4050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4051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4053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4066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4067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4071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4073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4074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4076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4079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4084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4085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4086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4087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4092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4095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4098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5251465</v>
      </c>
      <c r="E67" s="41" t="s">
        <v>4113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>
        <v>12050</v>
      </c>
      <c r="E68" s="41" t="s">
        <v>4116</v>
      </c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SUM(D30:D71)</f>
        <v>-6701772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1018</v>
      </c>
      <c r="S1" s="105" t="s">
        <v>38</v>
      </c>
      <c r="T1" s="11" t="s">
        <v>960</v>
      </c>
      <c r="U1" s="74" t="s">
        <v>1035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1024</v>
      </c>
      <c r="AG3" s="113" t="s">
        <v>1025</v>
      </c>
      <c r="AH3" s="113" t="s">
        <v>1132</v>
      </c>
      <c r="AI3" s="113" t="s">
        <v>1026</v>
      </c>
      <c r="AJ3" s="113" t="s">
        <v>1027</v>
      </c>
      <c r="AK3" s="113" t="s">
        <v>1133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1021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1032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1032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1011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1011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1094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1032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1059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1032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1060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1032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1032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1032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1032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1069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1021</v>
      </c>
      <c r="B30" s="78" t="s">
        <v>1011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1021</v>
      </c>
      <c r="B31" s="78" t="s">
        <v>1011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1021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1021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1021</v>
      </c>
      <c r="B34" s="78" t="s">
        <v>1011</v>
      </c>
      <c r="C34" s="78">
        <v>140</v>
      </c>
      <c r="D34" s="78" t="s">
        <v>1023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1021</v>
      </c>
      <c r="B35" s="78" t="s">
        <v>1011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1032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1032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1032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1032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1032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1069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1032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1070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1120</v>
      </c>
      <c r="B44" s="124" t="s">
        <v>1135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1136</v>
      </c>
      <c r="U44" s="76"/>
    </row>
    <row r="45" spans="1:26" x14ac:dyDescent="0.25">
      <c r="A45" s="124" t="s">
        <v>1120</v>
      </c>
      <c r="B45" s="124" t="s">
        <v>1137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1120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3745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3745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3794</v>
      </c>
      <c r="B62" s="82" t="s">
        <v>1093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1019</v>
      </c>
      <c r="R71" s="11" t="s">
        <v>1020</v>
      </c>
      <c r="S71" s="105" t="s">
        <v>1134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F13" sqref="AF1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1055</v>
      </c>
      <c r="M1" s="11" t="s">
        <v>972</v>
      </c>
      <c r="N1" s="11" t="s">
        <v>1045</v>
      </c>
      <c r="O1" s="11" t="s">
        <v>974</v>
      </c>
      <c r="P1" s="11" t="s">
        <v>1051</v>
      </c>
      <c r="Q1" s="11" t="s">
        <v>975</v>
      </c>
      <c r="R1" s="11" t="s">
        <v>1004</v>
      </c>
      <c r="S1" s="11" t="s">
        <v>986</v>
      </c>
      <c r="T1" s="11" t="s">
        <v>945</v>
      </c>
      <c r="U1" s="69" t="s">
        <v>1050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1009</v>
      </c>
      <c r="AE1" t="s">
        <v>1010</v>
      </c>
      <c r="AI1">
        <v>0.51500000000000001</v>
      </c>
      <c r="AJ1" t="s">
        <v>1036</v>
      </c>
      <c r="AL1" t="s">
        <v>1046</v>
      </c>
      <c r="AM1" t="s">
        <v>1047</v>
      </c>
    </row>
    <row r="2" spans="1:39" x14ac:dyDescent="0.25">
      <c r="A2" s="90" t="s">
        <v>969</v>
      </c>
      <c r="B2" s="91">
        <f>$S2/(1+($B$1-$O2+$P2)/36500)^$N2</f>
        <v>72120.054374556494</v>
      </c>
      <c r="C2" s="91">
        <f t="shared" ref="C2:C27" si="0">$S2/(1+($AC$3-$O2+$P2)/36500)^$N2</f>
        <v>77551.477624141829</v>
      </c>
      <c r="D2" s="91">
        <f t="shared" ref="D2:D27" si="1">$S2/(1+($AC$4-$O2+$P2)/36500)^$N2</f>
        <v>78022.191889939975</v>
      </c>
      <c r="E2" s="91">
        <f t="shared" ref="E2:E27" si="2">$S2/(1+($AC$5-$O2+$P2)/36500)^$N2</f>
        <v>78495.769753807748</v>
      </c>
      <c r="F2" s="91">
        <f t="shared" ref="F2:F27" si="3">$S2/(1+($AC$6-$O2+$P2)/36500)^$N2</f>
        <v>78972.228676066603</v>
      </c>
      <c r="G2" s="91">
        <f t="shared" ref="G2:G27" si="4">$S2/(1+($AC$7-$O2+$P2)/36500)^$N2</f>
        <v>79451.586223717939</v>
      </c>
      <c r="H2" s="91">
        <f t="shared" ref="H2:H27" si="5">$S2/(1+($AC$8-$O2+$P2)/36500)^$N2</f>
        <v>79933.860071141942</v>
      </c>
      <c r="I2" s="91">
        <f t="shared" ref="I2:I27" si="6">$S2/(1+($AC$9-$O2+$P2)/36500)^$N2</f>
        <v>80419.068000714571</v>
      </c>
      <c r="J2" s="91">
        <f t="shared" ref="J2:J27" si="7">$S2/(1+($AC$10-$O2+$P2)/36500)^$N2</f>
        <v>80907.22790349467</v>
      </c>
      <c r="K2" s="91">
        <f t="shared" ref="K2:K27" si="8">$S2/(1+($AC$11-$O2+$P2)/36500)^$N2</f>
        <v>81398.357779895814</v>
      </c>
      <c r="L2" s="91">
        <f t="shared" ref="L2:L27" si="9">$S2/(1+($AC$5-$O2+$P2)/36500)^$N2</f>
        <v>78495.769753807748</v>
      </c>
      <c r="M2" s="90" t="s">
        <v>995</v>
      </c>
      <c r="N2" s="90">
        <f>601-$AD$19</f>
        <v>442</v>
      </c>
      <c r="O2" s="90">
        <v>0</v>
      </c>
      <c r="P2" s="90">
        <v>0</v>
      </c>
      <c r="Q2" s="90">
        <v>0</v>
      </c>
      <c r="R2" s="90">
        <f t="shared" ref="R2:R27" si="10">N2/30.5</f>
        <v>14.491803278688524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1037</v>
      </c>
    </row>
    <row r="3" spans="1:39" x14ac:dyDescent="0.25">
      <c r="A3" s="94" t="s">
        <v>970</v>
      </c>
      <c r="B3" s="91">
        <f t="shared" ref="B3:B27" si="13">$S3/(1+($B$1-$O3+$P3)/36500)^$N3</f>
        <v>73628.842009361048</v>
      </c>
      <c r="C3" s="95">
        <f t="shared" si="0"/>
        <v>78810.552259318094</v>
      </c>
      <c r="D3" s="95">
        <f t="shared" si="1"/>
        <v>79258.519651663984</v>
      </c>
      <c r="E3" s="95">
        <f t="shared" si="2"/>
        <v>79709.03952284329</v>
      </c>
      <c r="F3" s="95">
        <f t="shared" si="3"/>
        <v>80162.126451911623</v>
      </c>
      <c r="G3" s="95">
        <f t="shared" si="4"/>
        <v>80617.795101375988</v>
      </c>
      <c r="H3" s="95">
        <f t="shared" si="5"/>
        <v>81076.060217716731</v>
      </c>
      <c r="I3" s="95">
        <f t="shared" si="6"/>
        <v>81536.936631830802</v>
      </c>
      <c r="J3" s="95">
        <f t="shared" si="7"/>
        <v>82000.439259540668</v>
      </c>
      <c r="K3" s="95">
        <f t="shared" si="8"/>
        <v>82466.583102087592</v>
      </c>
      <c r="L3" s="95">
        <f t="shared" si="9"/>
        <v>79709.03952284329</v>
      </c>
      <c r="M3" s="94" t="s">
        <v>996</v>
      </c>
      <c r="N3" s="94">
        <f>573-$AD$19</f>
        <v>414</v>
      </c>
      <c r="O3" s="94">
        <v>0</v>
      </c>
      <c r="P3" s="94">
        <v>0</v>
      </c>
      <c r="Q3" s="94">
        <v>0</v>
      </c>
      <c r="R3" s="94">
        <f t="shared" si="10"/>
        <v>13.573770491803279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971</v>
      </c>
      <c r="B4" s="91">
        <f t="shared" si="13"/>
        <v>91036.425827151674</v>
      </c>
      <c r="C4" s="91">
        <f t="shared" si="0"/>
        <v>92955.669222621669</v>
      </c>
      <c r="D4" s="91">
        <f t="shared" si="1"/>
        <v>93117.43533041855</v>
      </c>
      <c r="E4" s="91">
        <f t="shared" si="2"/>
        <v>93279.485172219313</v>
      </c>
      <c r="F4" s="91">
        <f t="shared" si="3"/>
        <v>93441.819249585329</v>
      </c>
      <c r="G4" s="91">
        <f t="shared" si="4"/>
        <v>93604.438064963746</v>
      </c>
      <c r="H4" s="91">
        <f t="shared" si="5"/>
        <v>93767.342121704627</v>
      </c>
      <c r="I4" s="91">
        <f t="shared" si="6"/>
        <v>93930.531924048482</v>
      </c>
      <c r="J4" s="91">
        <f t="shared" si="7"/>
        <v>94094.007977136876</v>
      </c>
      <c r="K4" s="91">
        <f t="shared" si="8"/>
        <v>94257.770787015776</v>
      </c>
      <c r="L4" s="91">
        <f t="shared" si="9"/>
        <v>93279.485172219313</v>
      </c>
      <c r="M4" s="90" t="s">
        <v>998</v>
      </c>
      <c r="N4" s="90">
        <f>286-$AD$19</f>
        <v>127</v>
      </c>
      <c r="O4" s="90">
        <v>0</v>
      </c>
      <c r="P4" s="90">
        <v>0</v>
      </c>
      <c r="Q4" s="90">
        <v>0</v>
      </c>
      <c r="R4" s="90">
        <f t="shared" si="10"/>
        <v>4.1639344262295079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987</v>
      </c>
      <c r="B5" s="91">
        <f t="shared" si="13"/>
        <v>79514.539430247489</v>
      </c>
      <c r="C5" s="93">
        <f t="shared" si="0"/>
        <v>83668.72986251174</v>
      </c>
      <c r="D5" s="93">
        <f t="shared" si="1"/>
        <v>84024.588179777871</v>
      </c>
      <c r="E5" s="93">
        <f t="shared" si="2"/>
        <v>84381.96493033116</v>
      </c>
      <c r="F5" s="93">
        <f t="shared" si="3"/>
        <v>84740.866614196377</v>
      </c>
      <c r="G5" s="93">
        <f t="shared" si="4"/>
        <v>85101.299759295784</v>
      </c>
      <c r="H5" s="93">
        <f t="shared" si="5"/>
        <v>85463.270921603355</v>
      </c>
      <c r="I5" s="93">
        <f t="shared" si="6"/>
        <v>85826.786685235071</v>
      </c>
      <c r="J5" s="93">
        <f t="shared" si="7"/>
        <v>86191.853662589463</v>
      </c>
      <c r="K5" s="93">
        <f t="shared" si="8"/>
        <v>86558.478494474053</v>
      </c>
      <c r="L5" s="93">
        <f t="shared" si="9"/>
        <v>84381.96493033116</v>
      </c>
      <c r="M5" s="92" t="s">
        <v>997</v>
      </c>
      <c r="N5" s="92">
        <f>469-$AD$19</f>
        <v>310</v>
      </c>
      <c r="O5" s="92">
        <v>0</v>
      </c>
      <c r="P5" s="92">
        <v>0</v>
      </c>
      <c r="Q5" s="92">
        <v>0</v>
      </c>
      <c r="R5" s="92">
        <f t="shared" si="10"/>
        <v>10.163934426229508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953</v>
      </c>
      <c r="AC5">
        <v>20</v>
      </c>
    </row>
    <row r="6" spans="1:39" x14ac:dyDescent="0.25">
      <c r="A6" s="94" t="s">
        <v>988</v>
      </c>
      <c r="B6" s="91">
        <f t="shared" si="13"/>
        <v>79514.539430247489</v>
      </c>
      <c r="C6" s="95">
        <f t="shared" si="0"/>
        <v>83668.72986251174</v>
      </c>
      <c r="D6" s="95">
        <f t="shared" si="1"/>
        <v>84024.588179777871</v>
      </c>
      <c r="E6" s="95">
        <f t="shared" si="2"/>
        <v>84381.96493033116</v>
      </c>
      <c r="F6" s="95">
        <f t="shared" si="3"/>
        <v>84740.866614196377</v>
      </c>
      <c r="G6" s="95">
        <f t="shared" si="4"/>
        <v>85101.299759295784</v>
      </c>
      <c r="H6" s="95">
        <f t="shared" si="5"/>
        <v>85463.270921603355</v>
      </c>
      <c r="I6" s="95">
        <f t="shared" si="6"/>
        <v>85826.786685235071</v>
      </c>
      <c r="J6" s="95">
        <f t="shared" si="7"/>
        <v>86191.853662589463</v>
      </c>
      <c r="K6" s="95">
        <f t="shared" si="8"/>
        <v>86558.478494474053</v>
      </c>
      <c r="L6" s="95">
        <f t="shared" si="9"/>
        <v>84381.96493033116</v>
      </c>
      <c r="M6" s="94" t="s">
        <v>997</v>
      </c>
      <c r="N6" s="94">
        <f>469-$AD$19</f>
        <v>310</v>
      </c>
      <c r="O6" s="94">
        <v>0</v>
      </c>
      <c r="P6" s="94">
        <v>0</v>
      </c>
      <c r="Q6" s="94">
        <v>0</v>
      </c>
      <c r="R6" s="94">
        <f t="shared" si="10"/>
        <v>10.163934426229508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989</v>
      </c>
      <c r="B7" s="91">
        <f t="shared" si="13"/>
        <v>71008.788311496974</v>
      </c>
      <c r="C7" s="91">
        <f t="shared" si="0"/>
        <v>76620.389734697397</v>
      </c>
      <c r="D7" s="91">
        <f t="shared" si="1"/>
        <v>77107.618429717942</v>
      </c>
      <c r="E7" s="91">
        <f t="shared" si="2"/>
        <v>77597.952144077091</v>
      </c>
      <c r="F7" s="91">
        <f t="shared" si="3"/>
        <v>78091.410708424432</v>
      </c>
      <c r="G7" s="91">
        <f t="shared" si="4"/>
        <v>78588.014080311346</v>
      </c>
      <c r="H7" s="91">
        <f t="shared" si="5"/>
        <v>79087.782345052095</v>
      </c>
      <c r="I7" s="91">
        <f t="shared" si="6"/>
        <v>79590.735716501003</v>
      </c>
      <c r="J7" s="91">
        <f t="shared" si="7"/>
        <v>80096.894537903849</v>
      </c>
      <c r="K7" s="91">
        <f t="shared" si="8"/>
        <v>80606.2792827339</v>
      </c>
      <c r="L7" s="91">
        <f t="shared" si="9"/>
        <v>77597.952144077091</v>
      </c>
      <c r="M7" s="90" t="s">
        <v>1001</v>
      </c>
      <c r="N7" s="90">
        <f>622-$AD$19</f>
        <v>463</v>
      </c>
      <c r="O7" s="90">
        <v>0</v>
      </c>
      <c r="P7" s="90">
        <v>0</v>
      </c>
      <c r="Q7" s="90">
        <v>0</v>
      </c>
      <c r="R7" s="90">
        <f t="shared" si="10"/>
        <v>15.180327868852459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990</v>
      </c>
      <c r="B8" s="91">
        <f t="shared" si="13"/>
        <v>67776.676871836389</v>
      </c>
      <c r="C8" s="95">
        <f t="shared" si="0"/>
        <v>73893.663025581787</v>
      </c>
      <c r="D8" s="95">
        <f t="shared" si="1"/>
        <v>74427.720448743974</v>
      </c>
      <c r="E8" s="95">
        <f t="shared" si="2"/>
        <v>74965.645097882603</v>
      </c>
      <c r="F8" s="95">
        <f t="shared" si="3"/>
        <v>75507.46502995718</v>
      </c>
      <c r="G8" s="95">
        <f t="shared" si="4"/>
        <v>76053.208505844595</v>
      </c>
      <c r="H8" s="95">
        <f t="shared" si="5"/>
        <v>76602.903991875966</v>
      </c>
      <c r="I8" s="95">
        <f t="shared" si="6"/>
        <v>77156.580161286372</v>
      </c>
      <c r="J8" s="95">
        <f t="shared" si="7"/>
        <v>77714.265895751058</v>
      </c>
      <c r="K8" s="95">
        <f t="shared" si="8"/>
        <v>78275.990286910615</v>
      </c>
      <c r="L8" s="95">
        <f t="shared" si="9"/>
        <v>74965.645097882603</v>
      </c>
      <c r="M8" s="94" t="s">
        <v>1002</v>
      </c>
      <c r="N8" s="94">
        <f>685-$AD$19</f>
        <v>526</v>
      </c>
      <c r="O8" s="94">
        <v>0</v>
      </c>
      <c r="P8" s="94">
        <v>0</v>
      </c>
      <c r="Q8" s="94">
        <v>0</v>
      </c>
      <c r="R8" s="94">
        <f t="shared" si="10"/>
        <v>17.245901639344261</v>
      </c>
      <c r="S8" s="95">
        <v>100000</v>
      </c>
      <c r="T8" s="95">
        <v>70000</v>
      </c>
      <c r="U8" s="95">
        <f t="shared" si="11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991</v>
      </c>
      <c r="B9" s="91">
        <f t="shared" si="13"/>
        <v>69194.598875351192</v>
      </c>
      <c r="C9" s="91">
        <f t="shared" si="0"/>
        <v>75093.351795751762</v>
      </c>
      <c r="D9" s="91">
        <f t="shared" si="1"/>
        <v>75607.09076382585</v>
      </c>
      <c r="E9" s="91">
        <f t="shared" si="2"/>
        <v>76124.35149949856</v>
      </c>
      <c r="F9" s="91">
        <f t="shared" si="3"/>
        <v>76645.158193808194</v>
      </c>
      <c r="G9" s="91">
        <f t="shared" si="4"/>
        <v>77169.535204271408</v>
      </c>
      <c r="H9" s="91">
        <f t="shared" si="5"/>
        <v>77697.507056080576</v>
      </c>
      <c r="I9" s="91">
        <f t="shared" si="6"/>
        <v>78229.09844321596</v>
      </c>
      <c r="J9" s="91">
        <f t="shared" si="7"/>
        <v>78764.334229637738</v>
      </c>
      <c r="K9" s="91">
        <f t="shared" si="8"/>
        <v>79303.239450465204</v>
      </c>
      <c r="L9" s="91">
        <f t="shared" si="9"/>
        <v>76124.35149949856</v>
      </c>
      <c r="M9" s="90" t="s">
        <v>1003</v>
      </c>
      <c r="N9" s="90">
        <f>657-$AD$19</f>
        <v>498</v>
      </c>
      <c r="O9" s="90">
        <v>0</v>
      </c>
      <c r="P9" s="90">
        <v>0</v>
      </c>
      <c r="Q9" s="90">
        <v>0</v>
      </c>
      <c r="R9" s="90">
        <f t="shared" si="10"/>
        <v>16.327868852459016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992</v>
      </c>
      <c r="B10" s="91">
        <f t="shared" si="13"/>
        <v>69194.598875351192</v>
      </c>
      <c r="C10" s="93">
        <f t="shared" si="0"/>
        <v>75093.351795751762</v>
      </c>
      <c r="D10" s="93">
        <f t="shared" si="1"/>
        <v>75607.09076382585</v>
      </c>
      <c r="E10" s="93">
        <f t="shared" si="2"/>
        <v>76124.35149949856</v>
      </c>
      <c r="F10" s="93">
        <f t="shared" si="3"/>
        <v>76645.158193808194</v>
      </c>
      <c r="G10" s="93">
        <f t="shared" si="4"/>
        <v>77169.535204271408</v>
      </c>
      <c r="H10" s="93">
        <f t="shared" si="5"/>
        <v>77697.507056080576</v>
      </c>
      <c r="I10" s="93">
        <f t="shared" si="6"/>
        <v>78229.09844321596</v>
      </c>
      <c r="J10" s="93">
        <f t="shared" si="7"/>
        <v>78764.334229637738</v>
      </c>
      <c r="K10" s="93">
        <f t="shared" si="8"/>
        <v>79303.239450465204</v>
      </c>
      <c r="L10" s="93">
        <f t="shared" si="9"/>
        <v>76124.35149949856</v>
      </c>
      <c r="M10" s="92" t="s">
        <v>1003</v>
      </c>
      <c r="N10" s="92">
        <f>657-$AD$19</f>
        <v>498</v>
      </c>
      <c r="O10" s="92">
        <v>0</v>
      </c>
      <c r="P10" s="92">
        <v>0</v>
      </c>
      <c r="Q10" s="92">
        <v>0</v>
      </c>
      <c r="R10" s="92">
        <f t="shared" si="10"/>
        <v>16.327868852459016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993</v>
      </c>
      <c r="B11" s="91">
        <f t="shared" si="13"/>
        <v>72120.054374556494</v>
      </c>
      <c r="C11" s="95">
        <f t="shared" si="0"/>
        <v>77551.477624141829</v>
      </c>
      <c r="D11" s="95">
        <f t="shared" si="1"/>
        <v>78022.191889939975</v>
      </c>
      <c r="E11" s="95">
        <f t="shared" si="2"/>
        <v>78495.769753807748</v>
      </c>
      <c r="F11" s="95">
        <f t="shared" si="3"/>
        <v>78972.228676066603</v>
      </c>
      <c r="G11" s="95">
        <f>$S11/(1+($AC$7-$O11+$P11)/36500)^$N11</f>
        <v>79451.586223717939</v>
      </c>
      <c r="H11" s="95">
        <f t="shared" si="5"/>
        <v>79933.860071141942</v>
      </c>
      <c r="I11" s="95">
        <f t="shared" si="6"/>
        <v>80419.068000714571</v>
      </c>
      <c r="J11" s="95">
        <f t="shared" si="7"/>
        <v>80907.22790349467</v>
      </c>
      <c r="K11" s="95">
        <f t="shared" si="8"/>
        <v>81398.357779895814</v>
      </c>
      <c r="L11" s="95">
        <f t="shared" si="9"/>
        <v>78495.769753807748</v>
      </c>
      <c r="M11" s="94" t="s">
        <v>995</v>
      </c>
      <c r="N11" s="94">
        <f>601-$AD$19</f>
        <v>442</v>
      </c>
      <c r="O11" s="94">
        <v>0</v>
      </c>
      <c r="P11" s="94">
        <v>0</v>
      </c>
      <c r="Q11" s="94">
        <v>0</v>
      </c>
      <c r="R11" s="94">
        <f t="shared" si="10"/>
        <v>14.491803278688524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2" t="s">
        <v>3890</v>
      </c>
      <c r="B12" s="91">
        <f t="shared" si="13"/>
        <v>77026.031069574354</v>
      </c>
      <c r="C12" s="174">
        <f t="shared" si="0"/>
        <v>81624.764138848186</v>
      </c>
      <c r="D12" s="174">
        <f t="shared" si="1"/>
        <v>82020.200706799384</v>
      </c>
      <c r="E12" s="174">
        <f t="shared" si="2"/>
        <v>82417.558446671042</v>
      </c>
      <c r="F12" s="174">
        <f t="shared" si="3"/>
        <v>82816.846718705812</v>
      </c>
      <c r="G12" s="174">
        <f t="shared" si="4"/>
        <v>83218.074928860733</v>
      </c>
      <c r="H12" s="174">
        <f t="shared" si="5"/>
        <v>83621.252529069505</v>
      </c>
      <c r="I12" s="174">
        <f t="shared" si="6"/>
        <v>84026.389017433627</v>
      </c>
      <c r="J12" s="174">
        <f t="shared" si="7"/>
        <v>84433.493938470041</v>
      </c>
      <c r="K12" s="174">
        <f t="shared" si="8"/>
        <v>84842.576883343703</v>
      </c>
      <c r="L12" s="174">
        <f t="shared" si="9"/>
        <v>82417.558446671042</v>
      </c>
      <c r="M12" s="172" t="s">
        <v>3891</v>
      </c>
      <c r="N12" s="172">
        <f>512-$AD$19</f>
        <v>353</v>
      </c>
      <c r="O12" s="172">
        <v>0</v>
      </c>
      <c r="P12" s="172">
        <v>0</v>
      </c>
      <c r="Q12" s="172">
        <v>0</v>
      </c>
      <c r="R12" s="172">
        <f t="shared" si="10"/>
        <v>11.573770491803279</v>
      </c>
      <c r="S12" s="174">
        <v>100000</v>
      </c>
      <c r="T12" s="174">
        <v>50000</v>
      </c>
      <c r="U12" s="174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3945</v>
      </c>
      <c r="B13" s="91">
        <f t="shared" si="13"/>
        <v>58588.942341280694</v>
      </c>
      <c r="C13" s="95">
        <f>$S13/(1+($AC$3-$O13+$P13)/36500)^$N13</f>
        <v>65977.726033263651</v>
      </c>
      <c r="D13" s="95">
        <f t="shared" si="1"/>
        <v>66634.048329686993</v>
      </c>
      <c r="E13" s="95">
        <f t="shared" si="2"/>
        <v>67296.908600456518</v>
      </c>
      <c r="F13" s="95">
        <f t="shared" si="3"/>
        <v>67966.372064668787</v>
      </c>
      <c r="G13" s="95">
        <f t="shared" si="4"/>
        <v>68642.50459288295</v>
      </c>
      <c r="H13" s="95">
        <f t="shared" si="5"/>
        <v>69325.372713701669</v>
      </c>
      <c r="I13" s="95">
        <f t="shared" si="6"/>
        <v>70015.043620296099</v>
      </c>
      <c r="J13" s="95">
        <f t="shared" si="7"/>
        <v>70711.585177090237</v>
      </c>
      <c r="K13" s="95">
        <f t="shared" si="8"/>
        <v>71415.065926484793</v>
      </c>
      <c r="L13" s="95">
        <f t="shared" si="9"/>
        <v>67296.908600456518</v>
      </c>
      <c r="M13" s="94" t="s">
        <v>3946</v>
      </c>
      <c r="N13" s="94">
        <f>882-$AD$19</f>
        <v>723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4002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1007</v>
      </c>
      <c r="B15" s="91">
        <f t="shared" si="13"/>
        <v>69946.320203946118</v>
      </c>
      <c r="C15" s="91">
        <f t="shared" si="0"/>
        <v>85729.150411740964</v>
      </c>
      <c r="D15" s="91">
        <f t="shared" si="1"/>
        <v>87195.247099291257</v>
      </c>
      <c r="E15" s="91">
        <f t="shared" si="2"/>
        <v>88686.436831417421</v>
      </c>
      <c r="F15" s="91">
        <f t="shared" si="3"/>
        <v>90203.149441775648</v>
      </c>
      <c r="G15" s="91">
        <f t="shared" si="4"/>
        <v>91745.822133020687</v>
      </c>
      <c r="H15" s="91">
        <f t="shared" si="5"/>
        <v>93314.899603171492</v>
      </c>
      <c r="I15" s="91">
        <f t="shared" si="6"/>
        <v>94910.834174073214</v>
      </c>
      <c r="J15" s="91">
        <f t="shared" si="7"/>
        <v>96534.085922516606</v>
      </c>
      <c r="K15" s="91">
        <f t="shared" si="8"/>
        <v>98185.122812976348</v>
      </c>
      <c r="L15" s="91">
        <f t="shared" si="9"/>
        <v>88686.436831417421</v>
      </c>
      <c r="M15" s="90" t="s">
        <v>1008</v>
      </c>
      <c r="N15" s="90">
        <f>1397-$AD$19</f>
        <v>1238</v>
      </c>
      <c r="O15" s="90">
        <v>17</v>
      </c>
      <c r="P15" s="90">
        <f>$AI$2</f>
        <v>0.54</v>
      </c>
      <c r="Q15" s="90">
        <v>6</v>
      </c>
      <c r="R15" s="90">
        <f t="shared" si="10"/>
        <v>40.590163934426229</v>
      </c>
      <c r="S15" s="91">
        <v>100000</v>
      </c>
      <c r="T15" s="91">
        <v>96000</v>
      </c>
      <c r="U15" s="91">
        <f t="shared" si="11"/>
        <v>174717.49741387105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964</v>
      </c>
      <c r="B16" s="91">
        <f t="shared" si="13"/>
        <v>93026.73368316039</v>
      </c>
      <c r="C16" s="93">
        <f t="shared" si="0"/>
        <v>99430.195255642771</v>
      </c>
      <c r="D16" s="93">
        <f>$S16/(1+($AC$4-$O16+$P16)/36500)^$N16</f>
        <v>99983.357552814545</v>
      </c>
      <c r="E16" s="93">
        <f t="shared" si="2"/>
        <v>100539.6049114676</v>
      </c>
      <c r="F16" s="93">
        <f t="shared" si="3"/>
        <v>101098.95458003294</v>
      </c>
      <c r="G16" s="93">
        <f t="shared" si="4"/>
        <v>101661.42390360423</v>
      </c>
      <c r="H16" s="93">
        <f t="shared" si="5"/>
        <v>102227.03032450081</v>
      </c>
      <c r="I16" s="93">
        <f t="shared" si="6"/>
        <v>102795.79138278753</v>
      </c>
      <c r="J16" s="93">
        <f t="shared" si="7"/>
        <v>103367.72471686297</v>
      </c>
      <c r="K16" s="93">
        <f t="shared" si="8"/>
        <v>103942.84806397939</v>
      </c>
      <c r="L16" s="93">
        <f t="shared" si="9"/>
        <v>100539.6049114676</v>
      </c>
      <c r="M16" s="92" t="s">
        <v>979</v>
      </c>
      <c r="N16" s="92">
        <f>564-$AD$19</f>
        <v>405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13.278688524590164</v>
      </c>
      <c r="S16" s="93">
        <v>100000</v>
      </c>
      <c r="T16" s="93">
        <v>100000</v>
      </c>
      <c r="U16" s="93">
        <f t="shared" si="11"/>
        <v>125507.46007176467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965</v>
      </c>
      <c r="B17" s="91">
        <f t="shared" si="13"/>
        <v>87536.762944415648</v>
      </c>
      <c r="C17" s="95">
        <f t="shared" si="0"/>
        <v>93823.235342076805</v>
      </c>
      <c r="D17" s="95">
        <f t="shared" si="1"/>
        <v>94367.102792412275</v>
      </c>
      <c r="E17" s="95">
        <f t="shared" si="2"/>
        <v>94914.130406674114</v>
      </c>
      <c r="F17" s="95">
        <f t="shared" si="3"/>
        <v>95464.336590764258</v>
      </c>
      <c r="G17" s="95">
        <f t="shared" si="4"/>
        <v>96017.739858080604</v>
      </c>
      <c r="H17" s="95">
        <f t="shared" si="5"/>
        <v>96574.358830074474</v>
      </c>
      <c r="I17" s="95">
        <f t="shared" si="6"/>
        <v>97134.212236936364</v>
      </c>
      <c r="J17" s="95">
        <f t="shared" si="7"/>
        <v>97697.318918214689</v>
      </c>
      <c r="K17" s="95">
        <f t="shared" si="8"/>
        <v>98263.69782342996</v>
      </c>
      <c r="L17" s="95">
        <f t="shared" si="9"/>
        <v>94914.130406674114</v>
      </c>
      <c r="M17" s="94" t="s">
        <v>980</v>
      </c>
      <c r="N17" s="94">
        <f>581-$AD$19</f>
        <v>422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13.836065573770492</v>
      </c>
      <c r="S17" s="95">
        <v>100000</v>
      </c>
      <c r="T17" s="95">
        <v>92000</v>
      </c>
      <c r="U17" s="95">
        <f t="shared" si="11"/>
        <v>119594.61739807893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958</v>
      </c>
      <c r="B18" s="91">
        <f t="shared" si="13"/>
        <v>91888.141352967126</v>
      </c>
      <c r="C18" s="91">
        <f t="shared" si="0"/>
        <v>99333.441619334597</v>
      </c>
      <c r="D18" s="91">
        <f t="shared" si="1"/>
        <v>99980.522449071548</v>
      </c>
      <c r="E18" s="91">
        <f t="shared" si="2"/>
        <v>100631.827462712</v>
      </c>
      <c r="F18" s="91">
        <f t="shared" si="3"/>
        <v>101287.38429443332</v>
      </c>
      <c r="G18" s="91">
        <f t="shared" si="4"/>
        <v>101947.22075956262</v>
      </c>
      <c r="H18" s="91">
        <f t="shared" si="5"/>
        <v>102611.36485579007</v>
      </c>
      <c r="I18" s="91">
        <f t="shared" si="6"/>
        <v>103279.84476433576</v>
      </c>
      <c r="J18" s="91">
        <f t="shared" si="7"/>
        <v>103952.68885120157</v>
      </c>
      <c r="K18" s="91">
        <f t="shared" si="8"/>
        <v>104629.92566834656</v>
      </c>
      <c r="L18" s="91">
        <f t="shared" si="9"/>
        <v>100631.827462712</v>
      </c>
      <c r="M18" s="90" t="s">
        <v>981</v>
      </c>
      <c r="N18" s="90">
        <f>633-$AD$19</f>
        <v>474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15.540983606557377</v>
      </c>
      <c r="S18" s="91">
        <v>100000</v>
      </c>
      <c r="T18" s="91">
        <v>100000</v>
      </c>
      <c r="U18" s="91">
        <f t="shared" si="11"/>
        <v>130460.76082626729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1005</v>
      </c>
      <c r="AD18" t="s">
        <v>1044</v>
      </c>
      <c r="AF18" s="26"/>
    </row>
    <row r="19" spans="1:32" x14ac:dyDescent="0.25">
      <c r="A19" s="92" t="s">
        <v>951</v>
      </c>
      <c r="B19" s="91">
        <f t="shared" si="13"/>
        <v>90779.685381428135</v>
      </c>
      <c r="C19" s="93">
        <f t="shared" si="0"/>
        <v>99238.182322367691</v>
      </c>
      <c r="D19" s="93">
        <f t="shared" si="1"/>
        <v>99977.728512441012</v>
      </c>
      <c r="E19" s="93">
        <f t="shared" si="2"/>
        <v>100722.7962182893</v>
      </c>
      <c r="F19" s="93">
        <f t="shared" si="3"/>
        <v>101473.42674052303</v>
      </c>
      <c r="G19" s="93">
        <f t="shared" si="4"/>
        <v>102229.66168923631</v>
      </c>
      <c r="H19" s="93">
        <f t="shared" si="5"/>
        <v>102991.54298635738</v>
      </c>
      <c r="I19" s="93">
        <f t="shared" si="6"/>
        <v>103759.11286795407</v>
      </c>
      <c r="J19" s="93">
        <f t="shared" si="7"/>
        <v>104532.41388664491</v>
      </c>
      <c r="K19" s="93">
        <f t="shared" si="8"/>
        <v>105311.48891393175</v>
      </c>
      <c r="L19" s="93">
        <f t="shared" si="9"/>
        <v>100722.7962182893</v>
      </c>
      <c r="M19" s="92" t="s">
        <v>982</v>
      </c>
      <c r="N19" s="92">
        <f>701-$AD$19</f>
        <v>542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17.770491803278688</v>
      </c>
      <c r="S19" s="93">
        <v>100000</v>
      </c>
      <c r="T19" s="93">
        <v>100000</v>
      </c>
      <c r="U19" s="93">
        <f t="shared" si="11"/>
        <v>135533.49718959519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1053</v>
      </c>
      <c r="AD19">
        <v>159</v>
      </c>
      <c r="AF19" s="26"/>
    </row>
    <row r="20" spans="1:32" x14ac:dyDescent="0.25">
      <c r="A20" s="94" t="s">
        <v>966</v>
      </c>
      <c r="B20" s="91">
        <f t="shared" si="13"/>
        <v>86216.346155273597</v>
      </c>
      <c r="C20" s="95">
        <f t="shared" si="0"/>
        <v>94668.124100894187</v>
      </c>
      <c r="D20" s="95">
        <f t="shared" si="1"/>
        <v>95408.833468877419</v>
      </c>
      <c r="E20" s="95">
        <f t="shared" si="2"/>
        <v>96155.348615330659</v>
      </c>
      <c r="F20" s="95">
        <f t="shared" si="3"/>
        <v>96907.715127192394</v>
      </c>
      <c r="G20" s="95">
        <f t="shared" si="4"/>
        <v>97665.978949950993</v>
      </c>
      <c r="H20" s="95">
        <f t="shared" si="5"/>
        <v>98430.186390533563</v>
      </c>
      <c r="I20" s="95">
        <f t="shared" si="6"/>
        <v>99200.384120080169</v>
      </c>
      <c r="J20" s="95">
        <f t="shared" si="7"/>
        <v>99976.619176904525</v>
      </c>
      <c r="K20" s="95">
        <f t="shared" si="8"/>
        <v>100758.93896929282</v>
      </c>
      <c r="L20" s="95">
        <f t="shared" si="9"/>
        <v>96155.348615330659</v>
      </c>
      <c r="M20" s="94" t="s">
        <v>1006</v>
      </c>
      <c r="N20" s="94">
        <f>728-$AD$19</f>
        <v>569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18.655737704918032</v>
      </c>
      <c r="S20" s="95">
        <v>100000</v>
      </c>
      <c r="T20" s="95">
        <v>95000</v>
      </c>
      <c r="U20" s="95">
        <f t="shared" si="11"/>
        <v>131316.21896903467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967</v>
      </c>
      <c r="B21" s="91">
        <f t="shared" si="13"/>
        <v>85086.652650938631</v>
      </c>
      <c r="C21" s="91">
        <f t="shared" si="0"/>
        <v>92556.098779608918</v>
      </c>
      <c r="D21" s="91">
        <f t="shared" si="1"/>
        <v>93207.446918167756</v>
      </c>
      <c r="E21" s="91">
        <f t="shared" si="2"/>
        <v>93863.387826577426</v>
      </c>
      <c r="F21" s="91">
        <f t="shared" si="3"/>
        <v>94523.953952810582</v>
      </c>
      <c r="G21" s="91">
        <f t="shared" si="4"/>
        <v>95189.177974581413</v>
      </c>
      <c r="H21" s="91">
        <f t="shared" si="5"/>
        <v>95859.092800889237</v>
      </c>
      <c r="I21" s="91">
        <f t="shared" si="6"/>
        <v>96533.731573723053</v>
      </c>
      <c r="J21" s="91">
        <f t="shared" si="7"/>
        <v>97213.127669692971</v>
      </c>
      <c r="K21" s="91">
        <f t="shared" si="8"/>
        <v>97897.314701663461</v>
      </c>
      <c r="L21" s="91">
        <f t="shared" si="9"/>
        <v>93863.387826577426</v>
      </c>
      <c r="M21" s="90" t="s">
        <v>983</v>
      </c>
      <c r="N21" s="90">
        <f>671-$AD$19</f>
        <v>512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16.78688524590164</v>
      </c>
      <c r="S21" s="91">
        <v>100000</v>
      </c>
      <c r="T21" s="91">
        <v>90600</v>
      </c>
      <c r="U21" s="91">
        <f t="shared" si="11"/>
        <v>124246.79792503599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968</v>
      </c>
      <c r="B22" s="91">
        <f t="shared" si="13"/>
        <v>75296.752418877266</v>
      </c>
      <c r="C22" s="93">
        <f t="shared" si="0"/>
        <v>86244.160372246595</v>
      </c>
      <c r="D22" s="93">
        <f>$S22/(1+($AC$4-$O22+$P22)/36500)^$N22</f>
        <v>87225.390737038833</v>
      </c>
      <c r="E22" s="93">
        <f t="shared" si="2"/>
        <v>88217.798576600486</v>
      </c>
      <c r="F22" s="93">
        <f t="shared" si="3"/>
        <v>89221.511372454639</v>
      </c>
      <c r="G22" s="93">
        <f t="shared" si="4"/>
        <v>90236.65806187522</v>
      </c>
      <c r="H22" s="93">
        <f t="shared" si="5"/>
        <v>91263.36905444118</v>
      </c>
      <c r="I22" s="93">
        <f t="shared" si="6"/>
        <v>92301.776249017159</v>
      </c>
      <c r="J22" s="93">
        <f t="shared" si="7"/>
        <v>93352.013050628477</v>
      </c>
      <c r="K22" s="93">
        <f t="shared" si="8"/>
        <v>94414.214387813408</v>
      </c>
      <c r="L22" s="93">
        <f t="shared" si="9"/>
        <v>88217.798576600486</v>
      </c>
      <c r="M22" s="92" t="s">
        <v>984</v>
      </c>
      <c r="N22" s="92">
        <f>985-$AD$19</f>
        <v>826</v>
      </c>
      <c r="O22" s="92">
        <v>15</v>
      </c>
      <c r="P22" s="92">
        <f>$AI$2</f>
        <v>0.54</v>
      </c>
      <c r="Q22" s="92">
        <v>6</v>
      </c>
      <c r="R22" s="92">
        <f t="shared" si="10"/>
        <v>27.081967213114755</v>
      </c>
      <c r="S22" s="93">
        <v>100000</v>
      </c>
      <c r="T22" s="93">
        <v>85800</v>
      </c>
      <c r="U22" s="93">
        <f t="shared" si="11"/>
        <v>138687.72512658915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942</v>
      </c>
      <c r="B23" s="91">
        <f t="shared" si="13"/>
        <v>85997.812745515752</v>
      </c>
      <c r="C23" s="95">
        <f t="shared" si="0"/>
        <v>88928.624312545639</v>
      </c>
      <c r="D23" s="95">
        <f t="shared" si="1"/>
        <v>89177.343148719126</v>
      </c>
      <c r="E23" s="95">
        <f t="shared" si="2"/>
        <v>89426.761030360358</v>
      </c>
      <c r="F23" s="95">
        <f t="shared" si="3"/>
        <v>89676.87993181299</v>
      </c>
      <c r="G23" s="95">
        <f t="shared" si="4"/>
        <v>89927.701833011917</v>
      </c>
      <c r="H23" s="95">
        <f t="shared" si="5"/>
        <v>90179.228719523482</v>
      </c>
      <c r="I23" s="95">
        <f t="shared" si="6"/>
        <v>90431.462582539796</v>
      </c>
      <c r="J23" s="95">
        <f t="shared" si="7"/>
        <v>90684.4054189085</v>
      </c>
      <c r="K23" s="95">
        <f t="shared" si="8"/>
        <v>90938.059231151783</v>
      </c>
      <c r="L23" s="95">
        <f t="shared" si="9"/>
        <v>89426.761030360358</v>
      </c>
      <c r="M23" s="94" t="s">
        <v>985</v>
      </c>
      <c r="N23" s="94">
        <f>363-$AD$19</f>
        <v>204</v>
      </c>
      <c r="O23" s="94">
        <v>0</v>
      </c>
      <c r="P23" s="94">
        <v>0</v>
      </c>
      <c r="Q23" s="94">
        <v>0</v>
      </c>
      <c r="R23" s="94">
        <f t="shared" si="10"/>
        <v>6.6885245901639347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954</v>
      </c>
      <c r="AD23" t="s">
        <v>1054</v>
      </c>
      <c r="AE23" s="25"/>
      <c r="AF23" s="26"/>
    </row>
    <row r="24" spans="1:32" x14ac:dyDescent="0.25">
      <c r="A24" s="90" t="s">
        <v>973</v>
      </c>
      <c r="B24" s="91">
        <f>$S24/(1+($B$1-$O24+$P24)/36500)^$N24</f>
        <v>79494.567206706794</v>
      </c>
      <c r="C24" s="91">
        <f t="shared" si="0"/>
        <v>95420.754417389733</v>
      </c>
      <c r="D24" s="91">
        <f t="shared" si="1"/>
        <v>96884.034875584388</v>
      </c>
      <c r="E24" s="91">
        <f t="shared" si="2"/>
        <v>98369.775295642801</v>
      </c>
      <c r="F24" s="91">
        <f t="shared" si="3"/>
        <v>99878.320731391534</v>
      </c>
      <c r="G24" s="91">
        <f t="shared" si="4"/>
        <v>101410.02154253755</v>
      </c>
      <c r="H24" s="91">
        <f t="shared" si="5"/>
        <v>102965.23347640439</v>
      </c>
      <c r="I24" s="91">
        <f t="shared" si="6"/>
        <v>104544.31775080372</v>
      </c>
      <c r="J24" s="91">
        <f t="shared" si="7"/>
        <v>106147.64113823631</v>
      </c>
      <c r="K24" s="91">
        <f t="shared" si="8"/>
        <v>107775.57605144248</v>
      </c>
      <c r="L24" s="91">
        <f t="shared" si="9"/>
        <v>98369.775295642801</v>
      </c>
      <c r="M24" s="90" t="s">
        <v>976</v>
      </c>
      <c r="N24" s="90">
        <f>1270-$AD$19</f>
        <v>1111</v>
      </c>
      <c r="O24" s="90">
        <v>20</v>
      </c>
      <c r="P24" s="90">
        <f>$AI$2</f>
        <v>0.54</v>
      </c>
      <c r="Q24" s="90">
        <v>6</v>
      </c>
      <c r="R24" s="90">
        <f t="shared" si="10"/>
        <v>36.42622950819672</v>
      </c>
      <c r="S24" s="91">
        <v>100000</v>
      </c>
      <c r="T24" s="91">
        <v>100000</v>
      </c>
      <c r="U24" s="91">
        <f t="shared" si="11"/>
        <v>180769.09199000362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977</v>
      </c>
      <c r="B25" s="91">
        <f t="shared" si="13"/>
        <v>97096.828548130812</v>
      </c>
      <c r="C25" s="93">
        <f t="shared" si="0"/>
        <v>100259.4472940221</v>
      </c>
      <c r="D25" s="93">
        <f t="shared" si="1"/>
        <v>100527.62705199541</v>
      </c>
      <c r="E25" s="93">
        <f t="shared" si="2"/>
        <v>100796.52784123653</v>
      </c>
      <c r="F25" s="93">
        <f t="shared" si="3"/>
        <v>101066.15161023874</v>
      </c>
      <c r="G25" s="93">
        <f t="shared" si="4"/>
        <v>101336.50031277951</v>
      </c>
      <c r="H25" s="93">
        <f t="shared" si="5"/>
        <v>101607.57590795333</v>
      </c>
      <c r="I25" s="93">
        <f t="shared" si="6"/>
        <v>101879.38036017089</v>
      </c>
      <c r="J25" s="93">
        <f t="shared" si="7"/>
        <v>102151.91563917801</v>
      </c>
      <c r="K25" s="93">
        <f t="shared" si="8"/>
        <v>102425.1837200724</v>
      </c>
      <c r="L25" s="93">
        <f t="shared" si="9"/>
        <v>100796.52784123653</v>
      </c>
      <c r="M25" s="92" t="s">
        <v>978</v>
      </c>
      <c r="N25" s="92">
        <f>354-$AD$19</f>
        <v>195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6.3934426229508201</v>
      </c>
      <c r="S25" s="93">
        <v>100000</v>
      </c>
      <c r="T25" s="93">
        <v>103000</v>
      </c>
      <c r="U25" s="93">
        <f t="shared" si="11"/>
        <v>112157.25659260656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999</v>
      </c>
      <c r="B26" s="91">
        <f t="shared" si="13"/>
        <v>90370.531372813261</v>
      </c>
      <c r="C26" s="95">
        <f t="shared" si="0"/>
        <v>100000</v>
      </c>
      <c r="D26" s="95">
        <f t="shared" si="1"/>
        <v>100847.41177340642</v>
      </c>
      <c r="E26" s="95">
        <f t="shared" si="2"/>
        <v>101702.01637040249</v>
      </c>
      <c r="F26" s="95">
        <f t="shared" si="3"/>
        <v>102563.87494341331</v>
      </c>
      <c r="G26" s="95">
        <f t="shared" si="4"/>
        <v>103433.04916558796</v>
      </c>
      <c r="H26" s="95">
        <f t="shared" si="5"/>
        <v>104309.60123532558</v>
      </c>
      <c r="I26" s="95">
        <f t="shared" si="6"/>
        <v>105193.59388066431</v>
      </c>
      <c r="J26" s="95">
        <f t="shared" si="7"/>
        <v>106085.09036385895</v>
      </c>
      <c r="K26" s="95">
        <f t="shared" si="8"/>
        <v>106984.15448590426</v>
      </c>
      <c r="L26" s="95">
        <f t="shared" si="9"/>
        <v>101702.01637040249</v>
      </c>
      <c r="M26" s="94" t="s">
        <v>1000</v>
      </c>
      <c r="N26" s="94">
        <f>775-$AD$19</f>
        <v>616</v>
      </c>
      <c r="O26" s="94">
        <v>21</v>
      </c>
      <c r="P26" s="94">
        <v>0</v>
      </c>
      <c r="Q26" s="94">
        <v>1</v>
      </c>
      <c r="R26" s="94">
        <f t="shared" si="10"/>
        <v>20.196721311475411</v>
      </c>
      <c r="S26" s="95">
        <v>100000</v>
      </c>
      <c r="T26" s="95">
        <v>104000</v>
      </c>
      <c r="U26" s="95">
        <f t="shared" si="11"/>
        <v>142511.25996348358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1048</v>
      </c>
      <c r="B27" s="91">
        <f t="shared" si="13"/>
        <v>71291.989547810517</v>
      </c>
      <c r="C27" s="91">
        <f t="shared" si="0"/>
        <v>86435.780578953301</v>
      </c>
      <c r="D27" s="91">
        <f t="shared" si="1"/>
        <v>87834.52309617534</v>
      </c>
      <c r="E27" s="91">
        <f t="shared" si="2"/>
        <v>89255.920316943855</v>
      </c>
      <c r="F27" s="91">
        <f t="shared" si="3"/>
        <v>90700.339485507022</v>
      </c>
      <c r="G27" s="91">
        <f t="shared" si="4"/>
        <v>92168.153804560934</v>
      </c>
      <c r="H27" s="91">
        <f t="shared" si="5"/>
        <v>93659.742531940268</v>
      </c>
      <c r="I27" s="91">
        <f t="shared" si="6"/>
        <v>95175.491078810679</v>
      </c>
      <c r="J27" s="91">
        <f t="shared" si="7"/>
        <v>96715.791109885744</v>
      </c>
      <c r="K27" s="91">
        <f t="shared" si="8"/>
        <v>98281.040644672335</v>
      </c>
      <c r="L27" s="91">
        <f t="shared" si="9"/>
        <v>89255.920316943855</v>
      </c>
      <c r="M27" s="90" t="s">
        <v>1049</v>
      </c>
      <c r="N27" s="90">
        <f>1331-$AD$19</f>
        <v>1172</v>
      </c>
      <c r="O27" s="90">
        <v>17</v>
      </c>
      <c r="P27" s="90">
        <f>AI2</f>
        <v>0.54</v>
      </c>
      <c r="Q27" s="90">
        <v>6</v>
      </c>
      <c r="R27" s="90">
        <f t="shared" si="10"/>
        <v>38.42622950819672</v>
      </c>
      <c r="S27" s="91">
        <v>100000</v>
      </c>
      <c r="T27" s="91"/>
      <c r="U27" s="91">
        <f t="shared" si="11"/>
        <v>169596.54957628314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9" t="s">
        <v>4115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1115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1116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1117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3822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3823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1061</v>
      </c>
    </row>
    <row r="2" spans="1:1" x14ac:dyDescent="0.25">
      <c r="A2" t="s">
        <v>1062</v>
      </c>
    </row>
    <row r="3" spans="1:1" x14ac:dyDescent="0.25">
      <c r="A3" t="s">
        <v>1063</v>
      </c>
    </row>
    <row r="4" spans="1:1" x14ac:dyDescent="0.25">
      <c r="A4" t="s">
        <v>1064</v>
      </c>
    </row>
    <row r="5" spans="1:1" x14ac:dyDescent="0.25">
      <c r="A5" t="s">
        <v>1065</v>
      </c>
    </row>
    <row r="6" spans="1:1" x14ac:dyDescent="0.25">
      <c r="A6" t="s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1085</v>
      </c>
      <c r="X1" s="11" t="s">
        <v>35</v>
      </c>
      <c r="Y1" s="11" t="s">
        <v>37</v>
      </c>
      <c r="Z1" s="11" t="s">
        <v>484</v>
      </c>
      <c r="AH1" s="190" t="s">
        <v>1097</v>
      </c>
      <c r="AI1" s="190"/>
      <c r="AJ1" s="190"/>
      <c r="AK1" s="190"/>
    </row>
    <row r="2" spans="10:37" x14ac:dyDescent="0.25">
      <c r="R2" s="11" t="s">
        <v>1084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0"/>
      <c r="AI2" s="190"/>
      <c r="AJ2" s="190"/>
      <c r="AK2" s="190"/>
    </row>
    <row r="3" spans="10:37" x14ac:dyDescent="0.25">
      <c r="R3" s="11" t="s">
        <v>1086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1" t="s">
        <v>1098</v>
      </c>
      <c r="AI3" s="192" t="s">
        <v>1099</v>
      </c>
      <c r="AJ3" s="191" t="s">
        <v>1100</v>
      </c>
      <c r="AK3" s="193" t="s">
        <v>1101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1"/>
      <c r="AI4" s="192"/>
      <c r="AJ4" s="191"/>
      <c r="AK4" s="193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1102</v>
      </c>
      <c r="AI5" s="96" t="s">
        <v>1103</v>
      </c>
      <c r="AJ5" s="96" t="s">
        <v>1104</v>
      </c>
      <c r="AK5" s="96" t="s">
        <v>1105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1106</v>
      </c>
      <c r="AI6" s="97" t="s">
        <v>1107</v>
      </c>
      <c r="AJ6" s="97" t="s">
        <v>1108</v>
      </c>
      <c r="AK6" s="97" t="s">
        <v>1109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1144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1140</v>
      </c>
      <c r="AC14" s="105" t="s">
        <v>1141</v>
      </c>
      <c r="AD14" s="105" t="s">
        <v>1142</v>
      </c>
      <c r="AE14" s="105" t="s">
        <v>183</v>
      </c>
      <c r="AF14" s="105" t="s">
        <v>957</v>
      </c>
      <c r="AG14" s="105" t="s">
        <v>1143</v>
      </c>
      <c r="AH14" s="105" t="s">
        <v>1152</v>
      </c>
      <c r="AI14" s="105" t="s">
        <v>1145</v>
      </c>
    </row>
    <row r="15" spans="10:37" x14ac:dyDescent="0.25">
      <c r="O15" t="s">
        <v>1083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1146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1147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1148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1149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1150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1151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3731</v>
      </c>
      <c r="AK23" s="105"/>
    </row>
    <row r="24" spans="5:37" x14ac:dyDescent="0.25">
      <c r="T24" t="s">
        <v>25</v>
      </c>
      <c r="AJ24" s="105" t="s">
        <v>3732</v>
      </c>
      <c r="AK24" s="105">
        <v>6145</v>
      </c>
    </row>
    <row r="25" spans="5:37" x14ac:dyDescent="0.25">
      <c r="AJ25" s="105" t="s">
        <v>3738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1094</v>
      </c>
      <c r="W26" s="105" t="s">
        <v>280</v>
      </c>
      <c r="X26" s="105" t="s">
        <v>1085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3742</v>
      </c>
      <c r="AK26" s="105">
        <v>6150</v>
      </c>
    </row>
    <row r="27" spans="5:37" x14ac:dyDescent="0.25">
      <c r="R27" s="105" t="s">
        <v>1222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3745</v>
      </c>
      <c r="AK27" s="105">
        <v>6400</v>
      </c>
    </row>
    <row r="28" spans="5:37" x14ac:dyDescent="0.25">
      <c r="E28" t="s">
        <v>25</v>
      </c>
      <c r="R28" s="105" t="s">
        <v>1086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1277</v>
      </c>
      <c r="J29" s="105" t="s">
        <v>1278</v>
      </c>
      <c r="L29" s="105" t="s">
        <v>1194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4005</v>
      </c>
      <c r="M30" s="105" t="s">
        <v>3722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1165</v>
      </c>
      <c r="M31" s="105" t="s">
        <v>3723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3718</v>
      </c>
      <c r="M32" s="105" t="s">
        <v>3719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1122</v>
      </c>
      <c r="G35" s="98">
        <v>24</v>
      </c>
      <c r="I35" s="140">
        <v>0.5</v>
      </c>
      <c r="J35" s="140">
        <v>1.36</v>
      </c>
      <c r="L35" s="105" t="s">
        <v>3720</v>
      </c>
      <c r="M35" s="105" t="s">
        <v>3713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1121</v>
      </c>
      <c r="G36" s="98">
        <v>21.6</v>
      </c>
      <c r="L36" s="105" t="s">
        <v>3919</v>
      </c>
      <c r="M36" s="105" t="s">
        <v>3714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1123</v>
      </c>
      <c r="G37" s="98">
        <v>31.1</v>
      </c>
      <c r="L37" s="105" t="s">
        <v>3724</v>
      </c>
      <c r="M37" s="105" t="s">
        <v>3725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1124</v>
      </c>
      <c r="G38" s="98">
        <v>8.1329999999999991</v>
      </c>
      <c r="L38" s="59">
        <v>35679</v>
      </c>
      <c r="M38" s="69" t="s">
        <v>3757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1125</v>
      </c>
      <c r="G39" s="98">
        <v>1214</v>
      </c>
      <c r="L39" s="105" t="s">
        <v>3726</v>
      </c>
      <c r="M39" s="105" t="s">
        <v>3727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1126</v>
      </c>
      <c r="G40" s="98">
        <v>10500</v>
      </c>
      <c r="H40">
        <v>375</v>
      </c>
      <c r="L40" s="105" t="s">
        <v>3920</v>
      </c>
      <c r="M40" s="105" t="s">
        <v>3717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1127</v>
      </c>
      <c r="G42" s="101">
        <f>G36*G38*G39*G40/(G35*G37)+G41</f>
        <v>3005135.55948553</v>
      </c>
      <c r="L42" s="105" t="s">
        <v>3728</v>
      </c>
      <c r="M42" s="105" t="s">
        <v>3729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3721</v>
      </c>
      <c r="M43" s="105" t="s">
        <v>3730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3758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1163</v>
      </c>
      <c r="V51" s="105" t="s">
        <v>280</v>
      </c>
      <c r="W51" s="105" t="s">
        <v>1085</v>
      </c>
      <c r="X51" s="105" t="s">
        <v>35</v>
      </c>
      <c r="Y51" s="105" t="s">
        <v>37</v>
      </c>
      <c r="Z51" s="105" t="s">
        <v>1251</v>
      </c>
    </row>
    <row r="52" spans="1:26" x14ac:dyDescent="0.25">
      <c r="R52" s="105" t="s">
        <v>1245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1255</v>
      </c>
      <c r="F63" s="138" t="s">
        <v>1127</v>
      </c>
      <c r="G63" s="116">
        <v>14100000</v>
      </c>
      <c r="H63" s="138" t="s">
        <v>1256</v>
      </c>
      <c r="I63" s="116">
        <f>G67*G63/G65</f>
        <v>7497073.1707317075</v>
      </c>
      <c r="J63" s="138" t="s">
        <v>1257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1258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3916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3892</v>
      </c>
      <c r="B90" s="105" t="s">
        <v>3915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3893</v>
      </c>
      <c r="B91" s="90">
        <f>116-'اوراق بدون ریسک'!$AD$19</f>
        <v>-43</v>
      </c>
      <c r="C91" s="152">
        <f>$B$89/(1+(C$90/36500))^$B91</f>
        <v>3064279.7229128056</v>
      </c>
      <c r="D91" s="152">
        <f>$B$89/(1+(D$90/36500))^$B91</f>
        <v>3067889.992602386</v>
      </c>
      <c r="E91" s="152">
        <f t="shared" ref="E91:L106" si="5">$B$89/(1+(E$90/36500))^$B91</f>
        <v>3071504.4168020766</v>
      </c>
      <c r="F91" s="152">
        <f t="shared" si="5"/>
        <v>3075123.000178718</v>
      </c>
      <c r="G91" s="152">
        <f t="shared" si="5"/>
        <v>3078745.7474042121</v>
      </c>
      <c r="H91" s="152">
        <f t="shared" si="5"/>
        <v>3082372.663155708</v>
      </c>
      <c r="I91" s="152">
        <f t="shared" si="5"/>
        <v>3086003.7521153754</v>
      </c>
      <c r="J91" s="152">
        <f t="shared" si="5"/>
        <v>3089639.0189705235</v>
      </c>
      <c r="K91" s="152">
        <f>$B$89/(1+(K$90/36500))^$B91</f>
        <v>3093278.4684136249</v>
      </c>
      <c r="L91" s="152">
        <f t="shared" si="5"/>
        <v>3096922.1051423009</v>
      </c>
    </row>
    <row r="92" spans="1:12" x14ac:dyDescent="0.25">
      <c r="A92" s="153" t="s">
        <v>3894</v>
      </c>
      <c r="B92" s="92">
        <f>120-'اوراق بدون ریسک'!$AD$19</f>
        <v>-39</v>
      </c>
      <c r="C92" s="154">
        <f t="shared" ref="C92:L112" si="6">$B$89/(1+(C$90/36500))^$B92</f>
        <v>3058242.5612469534</v>
      </c>
      <c r="D92" s="154">
        <f t="shared" si="6"/>
        <v>3061510.3616950233</v>
      </c>
      <c r="E92" s="154">
        <f t="shared" si="5"/>
        <v>3064781.5642363993</v>
      </c>
      <c r="F92" s="154">
        <f t="shared" si="5"/>
        <v>3068056.1723196851</v>
      </c>
      <c r="G92" s="154">
        <f t="shared" si="5"/>
        <v>3071334.1893968424</v>
      </c>
      <c r="H92" s="154">
        <f t="shared" si="5"/>
        <v>3074615.618923347</v>
      </c>
      <c r="I92" s="154">
        <f t="shared" si="5"/>
        <v>3077900.4643579926</v>
      </c>
      <c r="J92" s="154">
        <f t="shared" si="5"/>
        <v>3081188.7291629869</v>
      </c>
      <c r="K92" s="154">
        <f t="shared" si="5"/>
        <v>3084480.4168039807</v>
      </c>
      <c r="L92" s="154">
        <f t="shared" si="5"/>
        <v>3087775.530750046</v>
      </c>
    </row>
    <row r="93" spans="1:12" x14ac:dyDescent="0.25">
      <c r="A93" s="155" t="s">
        <v>3895</v>
      </c>
      <c r="B93" s="156">
        <f>137-'اوراق بدون ریسک'!$AD$19</f>
        <v>-22</v>
      </c>
      <c r="C93" s="157">
        <f t="shared" si="6"/>
        <v>3032717.0365319191</v>
      </c>
      <c r="D93" s="157">
        <f t="shared" si="6"/>
        <v>3034544.5999857131</v>
      </c>
      <c r="E93" s="157">
        <f t="shared" si="5"/>
        <v>3036373.2146695368</v>
      </c>
      <c r="F93" s="157">
        <f t="shared" si="5"/>
        <v>3038202.8811592562</v>
      </c>
      <c r="G93" s="157">
        <f t="shared" si="5"/>
        <v>3040033.600031015</v>
      </c>
      <c r="H93" s="157">
        <f t="shared" si="5"/>
        <v>3041865.3718613153</v>
      </c>
      <c r="I93" s="157">
        <f t="shared" si="5"/>
        <v>3043698.1972269122</v>
      </c>
      <c r="J93" s="157">
        <f t="shared" si="5"/>
        <v>3045532.0767048607</v>
      </c>
      <c r="K93" s="157">
        <f t="shared" si="5"/>
        <v>3047367.0108725331</v>
      </c>
      <c r="L93" s="157">
        <f t="shared" si="5"/>
        <v>3049203.0003076037</v>
      </c>
    </row>
    <row r="94" spans="1:12" x14ac:dyDescent="0.25">
      <c r="A94" s="158" t="s">
        <v>3896</v>
      </c>
      <c r="B94" s="159">
        <f>116-'اوراق بدون ریسک'!$AD$19</f>
        <v>-43</v>
      </c>
      <c r="C94" s="160">
        <f t="shared" si="6"/>
        <v>3064279.7229128056</v>
      </c>
      <c r="D94" s="160">
        <f t="shared" si="6"/>
        <v>3067889.992602386</v>
      </c>
      <c r="E94" s="160">
        <f t="shared" si="5"/>
        <v>3071504.4168020766</v>
      </c>
      <c r="F94" s="160">
        <f t="shared" si="5"/>
        <v>3075123.000178718</v>
      </c>
      <c r="G94" s="160">
        <f t="shared" si="5"/>
        <v>3078745.7474042121</v>
      </c>
      <c r="H94" s="160">
        <f t="shared" si="5"/>
        <v>3082372.663155708</v>
      </c>
      <c r="I94" s="160">
        <f t="shared" si="5"/>
        <v>3086003.7521153754</v>
      </c>
      <c r="J94" s="160">
        <f t="shared" si="5"/>
        <v>3089639.0189705235</v>
      </c>
      <c r="K94" s="160">
        <f t="shared" si="5"/>
        <v>3093278.4684136249</v>
      </c>
      <c r="L94" s="160">
        <f t="shared" si="5"/>
        <v>3096922.1051423009</v>
      </c>
    </row>
    <row r="95" spans="1:12" x14ac:dyDescent="0.25">
      <c r="A95" s="161" t="s">
        <v>3897</v>
      </c>
      <c r="B95" s="162">
        <f>167-'اوراق بدون ریسک'!$AD$19</f>
        <v>8</v>
      </c>
      <c r="C95" s="163">
        <f t="shared" si="6"/>
        <v>2988190.6057848153</v>
      </c>
      <c r="D95" s="163">
        <f t="shared" si="6"/>
        <v>2987536.063386234</v>
      </c>
      <c r="E95" s="163">
        <f t="shared" si="5"/>
        <v>2986881.6822778233</v>
      </c>
      <c r="F95" s="163">
        <f t="shared" si="5"/>
        <v>2986227.4624154228</v>
      </c>
      <c r="G95" s="163">
        <f t="shared" si="5"/>
        <v>2985573.4037548951</v>
      </c>
      <c r="H95" s="163">
        <f t="shared" si="5"/>
        <v>2984919.5062520937</v>
      </c>
      <c r="I95" s="163">
        <f t="shared" si="5"/>
        <v>2984265.7698629042</v>
      </c>
      <c r="J95" s="163">
        <f t="shared" si="5"/>
        <v>2983612.1945432234</v>
      </c>
      <c r="K95" s="163">
        <f t="shared" si="5"/>
        <v>2982958.7802489558</v>
      </c>
      <c r="L95" s="163">
        <f t="shared" si="5"/>
        <v>2982305.5269360207</v>
      </c>
    </row>
    <row r="96" spans="1:12" x14ac:dyDescent="0.25">
      <c r="A96" s="166" t="s">
        <v>3898</v>
      </c>
      <c r="B96" s="167">
        <f>181-'اوراق بدون ریسک'!$AD$19</f>
        <v>22</v>
      </c>
      <c r="C96" s="168">
        <f t="shared" si="6"/>
        <v>2967635.9157766998</v>
      </c>
      <c r="D96" s="168">
        <f t="shared" si="6"/>
        <v>2965848.6482757153</v>
      </c>
      <c r="E96" s="168">
        <f t="shared" si="5"/>
        <v>2964062.5060577453</v>
      </c>
      <c r="F96" s="168">
        <f t="shared" si="5"/>
        <v>2962277.4883835148</v>
      </c>
      <c r="G96" s="168">
        <f t="shared" si="5"/>
        <v>2960493.5945142778</v>
      </c>
      <c r="H96" s="168">
        <f t="shared" si="5"/>
        <v>2958710.8237117361</v>
      </c>
      <c r="I96" s="168">
        <f t="shared" si="5"/>
        <v>2956929.1752381441</v>
      </c>
      <c r="J96" s="168">
        <f t="shared" si="5"/>
        <v>2955148.6483562593</v>
      </c>
      <c r="K96" s="168">
        <f t="shared" si="5"/>
        <v>2953369.2423293274</v>
      </c>
      <c r="L96" s="168">
        <f t="shared" si="5"/>
        <v>2951590.9564210977</v>
      </c>
    </row>
    <row r="97" spans="1:12" x14ac:dyDescent="0.25">
      <c r="A97" s="169" t="s">
        <v>3899</v>
      </c>
      <c r="B97" s="88">
        <f>197-'اوراق بدون ریسک'!$AD$19</f>
        <v>38</v>
      </c>
      <c r="C97" s="148">
        <f t="shared" si="6"/>
        <v>2944317.9132570033</v>
      </c>
      <c r="D97" s="148">
        <f t="shared" si="6"/>
        <v>2941255.7423197329</v>
      </c>
      <c r="E97" s="148">
        <f t="shared" si="5"/>
        <v>2938196.8398432746</v>
      </c>
      <c r="F97" s="148">
        <f t="shared" si="5"/>
        <v>2935141.2022496248</v>
      </c>
      <c r="G97" s="148">
        <f t="shared" si="5"/>
        <v>2932088.8259648355</v>
      </c>
      <c r="H97" s="148">
        <f t="shared" si="5"/>
        <v>2929039.7074188646</v>
      </c>
      <c r="I97" s="148">
        <f t="shared" si="5"/>
        <v>2925993.8430457613</v>
      </c>
      <c r="J97" s="148">
        <f t="shared" si="5"/>
        <v>2922951.229283574</v>
      </c>
      <c r="K97" s="148">
        <f t="shared" si="5"/>
        <v>2919911.8625743147</v>
      </c>
      <c r="L97" s="148">
        <f t="shared" si="5"/>
        <v>2916875.7393639898</v>
      </c>
    </row>
    <row r="98" spans="1:12" x14ac:dyDescent="0.25">
      <c r="A98" s="170" t="s">
        <v>3900</v>
      </c>
      <c r="B98" s="127">
        <f>214-'اوراق بدون ریسک'!$AD$19</f>
        <v>55</v>
      </c>
      <c r="C98" s="112">
        <f t="shared" si="6"/>
        <v>2919743.2570096198</v>
      </c>
      <c r="D98" s="112">
        <f t="shared" si="6"/>
        <v>2915349.1824511527</v>
      </c>
      <c r="E98" s="112">
        <f t="shared" si="5"/>
        <v>2910961.8408154361</v>
      </c>
      <c r="F98" s="112">
        <f t="shared" si="5"/>
        <v>2906581.2216018522</v>
      </c>
      <c r="G98" s="112">
        <f t="shared" si="5"/>
        <v>2902207.314326507</v>
      </c>
      <c r="H98" s="112">
        <f t="shared" si="5"/>
        <v>2897840.1085219923</v>
      </c>
      <c r="I98" s="112">
        <f t="shared" si="5"/>
        <v>2893479.5937376311</v>
      </c>
      <c r="J98" s="112">
        <f t="shared" si="5"/>
        <v>2889125.7595393271</v>
      </c>
      <c r="K98" s="112">
        <f t="shared" si="5"/>
        <v>2884778.5955094988</v>
      </c>
      <c r="L98" s="112">
        <f t="shared" si="5"/>
        <v>2880438.0912470901</v>
      </c>
    </row>
    <row r="99" spans="1:12" x14ac:dyDescent="0.25">
      <c r="A99" s="171" t="s">
        <v>3901</v>
      </c>
      <c r="B99" s="172">
        <f>272-'اوراق بدون ریسک'!$AD$19</f>
        <v>113</v>
      </c>
      <c r="C99" s="173">
        <f t="shared" si="6"/>
        <v>2837433.6447368865</v>
      </c>
      <c r="D99" s="173">
        <f t="shared" si="6"/>
        <v>2828667.2811978785</v>
      </c>
      <c r="E99" s="173">
        <f t="shared" si="5"/>
        <v>2819928.2406203733</v>
      </c>
      <c r="F99" s="173">
        <f t="shared" si="5"/>
        <v>2811216.4370996165</v>
      </c>
      <c r="G99" s="173">
        <f t="shared" si="5"/>
        <v>2802531.7850034107</v>
      </c>
      <c r="H99" s="173">
        <f t="shared" si="5"/>
        <v>2793874.1989708059</v>
      </c>
      <c r="I99" s="173">
        <f t="shared" si="5"/>
        <v>2785243.5939117926</v>
      </c>
      <c r="J99" s="173">
        <f t="shared" si="5"/>
        <v>2776639.8850061749</v>
      </c>
      <c r="K99" s="173">
        <f t="shared" si="5"/>
        <v>2768062.9877026426</v>
      </c>
      <c r="L99" s="173">
        <f t="shared" si="5"/>
        <v>2759512.8177179717</v>
      </c>
    </row>
    <row r="100" spans="1:12" x14ac:dyDescent="0.25">
      <c r="A100" s="155" t="s">
        <v>3902</v>
      </c>
      <c r="B100" s="156">
        <f>302-'اوراق بدون ریسک'!$AD$19</f>
        <v>143</v>
      </c>
      <c r="C100" s="157">
        <f t="shared" si="6"/>
        <v>2795774.3698490607</v>
      </c>
      <c r="D100" s="157">
        <f t="shared" si="6"/>
        <v>2784848.0177022736</v>
      </c>
      <c r="E100" s="157">
        <f t="shared" si="5"/>
        <v>2773964.6650003842</v>
      </c>
      <c r="F100" s="157">
        <f t="shared" si="5"/>
        <v>2763124.1413533725</v>
      </c>
      <c r="G100" s="157">
        <f t="shared" si="5"/>
        <v>2752326.2770511988</v>
      </c>
      <c r="H100" s="157">
        <f t="shared" si="5"/>
        <v>2741570.9030605359</v>
      </c>
      <c r="I100" s="157">
        <f t="shared" si="5"/>
        <v>2730857.8510227464</v>
      </c>
      <c r="J100" s="157">
        <f t="shared" si="5"/>
        <v>2720186.9532508459</v>
      </c>
      <c r="K100" s="157">
        <f t="shared" si="5"/>
        <v>2709558.0427267198</v>
      </c>
      <c r="L100" s="157">
        <f t="shared" si="5"/>
        <v>2698970.9530985267</v>
      </c>
    </row>
    <row r="101" spans="1:12" x14ac:dyDescent="0.25">
      <c r="A101" s="158" t="s">
        <v>3903</v>
      </c>
      <c r="B101" s="159">
        <f>319-'اوراق بدون ریسک'!$AD$19</f>
        <v>160</v>
      </c>
      <c r="C101" s="160">
        <f t="shared" si="6"/>
        <v>2772439.5275839171</v>
      </c>
      <c r="D101" s="160">
        <f t="shared" si="6"/>
        <v>2760319.0959708365</v>
      </c>
      <c r="E101" s="160">
        <f t="shared" si="5"/>
        <v>2748251.9816532149</v>
      </c>
      <c r="F101" s="160">
        <f t="shared" si="5"/>
        <v>2736237.9486400681</v>
      </c>
      <c r="G101" s="160">
        <f t="shared" si="5"/>
        <v>2724276.7619915321</v>
      </c>
      <c r="H101" s="160">
        <f t="shared" si="5"/>
        <v>2712368.1878135656</v>
      </c>
      <c r="I101" s="160">
        <f t="shared" si="5"/>
        <v>2700511.9932540255</v>
      </c>
      <c r="J101" s="160">
        <f t="shared" si="5"/>
        <v>2688707.946497649</v>
      </c>
      <c r="K101" s="160">
        <f t="shared" si="5"/>
        <v>2676955.816761307</v>
      </c>
      <c r="L101" s="160">
        <f t="shared" si="5"/>
        <v>2665255.3742894754</v>
      </c>
    </row>
    <row r="102" spans="1:12" x14ac:dyDescent="0.25">
      <c r="A102" s="155" t="s">
        <v>3904</v>
      </c>
      <c r="B102" s="156">
        <f>334-'اوراق بدون ریسک'!$AD$19</f>
        <v>175</v>
      </c>
      <c r="C102" s="157">
        <f t="shared" si="6"/>
        <v>2752011.7552765496</v>
      </c>
      <c r="D102" s="157">
        <f t="shared" si="6"/>
        <v>2738855.4110221392</v>
      </c>
      <c r="E102" s="157">
        <f t="shared" si="5"/>
        <v>2725762.3200292015</v>
      </c>
      <c r="F102" s="157">
        <f t="shared" si="5"/>
        <v>2712732.1764682499</v>
      </c>
      <c r="G102" s="157">
        <f t="shared" si="5"/>
        <v>2699764.6759969792</v>
      </c>
      <c r="H102" s="157">
        <f t="shared" si="5"/>
        <v>2686859.5157523556</v>
      </c>
      <c r="I102" s="157">
        <f t="shared" si="5"/>
        <v>2674016.3943442111</v>
      </c>
      <c r="J102" s="157">
        <f t="shared" si="5"/>
        <v>2661235.0118476558</v>
      </c>
      <c r="K102" s="157">
        <f t="shared" si="5"/>
        <v>2648515.0697958153</v>
      </c>
      <c r="L102" s="157">
        <f t="shared" si="5"/>
        <v>2635856.2711727987</v>
      </c>
    </row>
    <row r="103" spans="1:12" x14ac:dyDescent="0.25">
      <c r="A103" s="158" t="s">
        <v>3905</v>
      </c>
      <c r="B103" s="159">
        <f>349-'اوراق بدون ریسک'!$AD$19</f>
        <v>190</v>
      </c>
      <c r="C103" s="160">
        <f t="shared" si="6"/>
        <v>2731734.4980218234</v>
      </c>
      <c r="D103" s="160">
        <f t="shared" si="6"/>
        <v>2717558.6233616024</v>
      </c>
      <c r="E103" s="160">
        <f t="shared" si="5"/>
        <v>2703456.6971626733</v>
      </c>
      <c r="F103" s="160">
        <f t="shared" si="5"/>
        <v>2689428.3316637743</v>
      </c>
      <c r="G103" s="160">
        <f t="shared" si="5"/>
        <v>2675473.1411476652</v>
      </c>
      <c r="H103" s="160">
        <f t="shared" si="5"/>
        <v>2661590.7419296112</v>
      </c>
      <c r="I103" s="160">
        <f t="shared" si="5"/>
        <v>2647780.7523475084</v>
      </c>
      <c r="J103" s="160">
        <f t="shared" si="5"/>
        <v>2634042.7927507465</v>
      </c>
      <c r="K103" s="160">
        <f t="shared" si="5"/>
        <v>2620376.4854894485</v>
      </c>
      <c r="L103" s="160">
        <f t="shared" si="5"/>
        <v>2606781.4549039798</v>
      </c>
    </row>
    <row r="104" spans="1:12" x14ac:dyDescent="0.25">
      <c r="A104" s="171" t="s">
        <v>3906</v>
      </c>
      <c r="B104" s="172">
        <f>361-'اوراق بدون ریسک'!$AD$19</f>
        <v>202</v>
      </c>
      <c r="C104" s="173">
        <f t="shared" si="6"/>
        <v>2715620.3175203446</v>
      </c>
      <c r="D104" s="173">
        <f t="shared" si="6"/>
        <v>2700640.4868464526</v>
      </c>
      <c r="E104" s="173">
        <f t="shared" si="5"/>
        <v>2685743.6943030143</v>
      </c>
      <c r="F104" s="173">
        <f t="shared" si="5"/>
        <v>2670929.4773274558</v>
      </c>
      <c r="G104" s="173">
        <f t="shared" si="5"/>
        <v>2656197.3759466689</v>
      </c>
      <c r="H104" s="173">
        <f t="shared" si="5"/>
        <v>2641546.9327617162</v>
      </c>
      <c r="I104" s="173">
        <f t="shared" si="5"/>
        <v>2626977.6929342956</v>
      </c>
      <c r="J104" s="173">
        <f t="shared" si="5"/>
        <v>2612489.2041719034</v>
      </c>
      <c r="K104" s="173">
        <f t="shared" si="5"/>
        <v>2598081.0167133915</v>
      </c>
      <c r="L104" s="173">
        <f t="shared" si="5"/>
        <v>2583752.6833148506</v>
      </c>
    </row>
    <row r="105" spans="1:12" x14ac:dyDescent="0.25">
      <c r="A105" s="164" t="s">
        <v>3907</v>
      </c>
      <c r="B105" s="94">
        <f>372-'اوراق بدون ریسک'!$AD$19</f>
        <v>213</v>
      </c>
      <c r="C105" s="165">
        <f t="shared" si="6"/>
        <v>2700932.5028515304</v>
      </c>
      <c r="D105" s="165">
        <f t="shared" si="6"/>
        <v>2685224.7350174473</v>
      </c>
      <c r="E105" s="165">
        <f t="shared" si="5"/>
        <v>2669608.7449578904</v>
      </c>
      <c r="F105" s="165">
        <f t="shared" si="5"/>
        <v>2654083.9939400856</v>
      </c>
      <c r="G105" s="165">
        <f t="shared" si="5"/>
        <v>2638649.9464084399</v>
      </c>
      <c r="H105" s="165">
        <f t="shared" si="5"/>
        <v>2623306.0699649584</v>
      </c>
      <c r="I105" s="165">
        <f t="shared" si="5"/>
        <v>2608051.8353515305</v>
      </c>
      <c r="J105" s="165">
        <f t="shared" si="5"/>
        <v>2592886.7164308634</v>
      </c>
      <c r="K105" s="165">
        <f t="shared" si="5"/>
        <v>2577810.1901678802</v>
      </c>
      <c r="L105" s="165">
        <f t="shared" si="5"/>
        <v>2562821.7366114547</v>
      </c>
    </row>
    <row r="106" spans="1:12" x14ac:dyDescent="0.25">
      <c r="A106" s="158" t="s">
        <v>3908</v>
      </c>
      <c r="B106" s="159">
        <f>391-'اوراق بدون ریسک'!$AD$19</f>
        <v>232</v>
      </c>
      <c r="C106" s="160">
        <f t="shared" si="6"/>
        <v>2675749.5090845628</v>
      </c>
      <c r="D106" s="160">
        <f t="shared" si="6"/>
        <v>2658804.5035596839</v>
      </c>
      <c r="E106" s="160">
        <f t="shared" si="5"/>
        <v>2641967.2670837715</v>
      </c>
      <c r="F106" s="160">
        <f t="shared" si="5"/>
        <v>2625237.1113303634</v>
      </c>
      <c r="G106" s="160">
        <f t="shared" si="5"/>
        <v>2608613.35238828</v>
      </c>
      <c r="H106" s="160">
        <f t="shared" si="5"/>
        <v>2592095.3107323502</v>
      </c>
      <c r="I106" s="160">
        <f t="shared" si="5"/>
        <v>2575682.3111962397</v>
      </c>
      <c r="J106" s="160">
        <f t="shared" si="5"/>
        <v>2559373.6829438698</v>
      </c>
      <c r="K106" s="160">
        <f t="shared" si="5"/>
        <v>2543168.7594413999</v>
      </c>
      <c r="L106" s="160">
        <f t="shared" si="5"/>
        <v>2527066.878429648</v>
      </c>
    </row>
    <row r="107" spans="1:12" x14ac:dyDescent="0.25">
      <c r="A107" s="164" t="s">
        <v>3909</v>
      </c>
      <c r="B107" s="94">
        <f>407-'اوراق بدون ریسک'!$AD$19</f>
        <v>248</v>
      </c>
      <c r="C107" s="165">
        <f t="shared" si="6"/>
        <v>2654724.9846598473</v>
      </c>
      <c r="D107" s="165">
        <f t="shared" si="6"/>
        <v>2636757.6168618742</v>
      </c>
      <c r="E107" s="165">
        <f t="shared" si="6"/>
        <v>2618912.3404955892</v>
      </c>
      <c r="F107" s="165">
        <f t="shared" si="6"/>
        <v>2601188.3226190666</v>
      </c>
      <c r="G107" s="165">
        <f t="shared" si="6"/>
        <v>2583584.7359957718</v>
      </c>
      <c r="H107" s="165">
        <f t="shared" si="6"/>
        <v>2566100.7590544475</v>
      </c>
      <c r="I107" s="165">
        <f t="shared" si="6"/>
        <v>2548735.5758512919</v>
      </c>
      <c r="J107" s="165">
        <f t="shared" si="6"/>
        <v>2531488.3760307352</v>
      </c>
      <c r="K107" s="165">
        <f t="shared" si="6"/>
        <v>2514358.3547868812</v>
      </c>
      <c r="L107" s="165">
        <f t="shared" si="6"/>
        <v>2497344.7128254785</v>
      </c>
    </row>
    <row r="108" spans="1:12" x14ac:dyDescent="0.25">
      <c r="A108" s="155" t="s">
        <v>3910</v>
      </c>
      <c r="B108" s="156">
        <f>573-'اوراق بدون ریسک'!$AD$19</f>
        <v>414</v>
      </c>
      <c r="C108" s="157">
        <f t="shared" si="6"/>
        <v>2446108.0989549239</v>
      </c>
      <c r="D108" s="157">
        <f t="shared" si="6"/>
        <v>2418533.8530412796</v>
      </c>
      <c r="E108" s="157">
        <f t="shared" si="6"/>
        <v>2391271.1856852989</v>
      </c>
      <c r="F108" s="157">
        <f t="shared" si="6"/>
        <v>2364316.5677795429</v>
      </c>
      <c r="G108" s="157">
        <f t="shared" si="6"/>
        <v>2337666.5102845309</v>
      </c>
      <c r="H108" s="157">
        <f t="shared" si="6"/>
        <v>2311317.5637714211</v>
      </c>
      <c r="I108" s="157">
        <f t="shared" si="6"/>
        <v>2285266.3179729632</v>
      </c>
      <c r="J108" s="157">
        <f t="shared" si="6"/>
        <v>2259509.4013370345</v>
      </c>
      <c r="K108" s="157">
        <f t="shared" si="6"/>
        <v>2234043.480585889</v>
      </c>
      <c r="L108" s="157">
        <f t="shared" si="6"/>
        <v>2208865.2602808313</v>
      </c>
    </row>
    <row r="109" spans="1:12" x14ac:dyDescent="0.25">
      <c r="A109" s="164" t="s">
        <v>3911</v>
      </c>
      <c r="B109" s="94">
        <f>579-'اوراق بدون ریسک'!$AD$19</f>
        <v>420</v>
      </c>
      <c r="C109" s="165">
        <f t="shared" si="6"/>
        <v>2438882.7758778604</v>
      </c>
      <c r="D109" s="165">
        <f t="shared" si="6"/>
        <v>2410993.8193548257</v>
      </c>
      <c r="E109" s="165">
        <f t="shared" si="6"/>
        <v>2383424.5274532894</v>
      </c>
      <c r="F109" s="165">
        <f t="shared" si="6"/>
        <v>2356171.2275582533</v>
      </c>
      <c r="G109" s="165">
        <f t="shared" si="6"/>
        <v>2329230.2893484705</v>
      </c>
      <c r="H109" s="165">
        <f t="shared" si="6"/>
        <v>2302598.1243069218</v>
      </c>
      <c r="I109" s="165">
        <f t="shared" si="6"/>
        <v>2276271.185240027</v>
      </c>
      <c r="J109" s="165">
        <f t="shared" si="6"/>
        <v>2250245.965799869</v>
      </c>
      <c r="K109" s="165">
        <f t="shared" si="6"/>
        <v>2224519.0000125575</v>
      </c>
      <c r="L109" s="165">
        <f t="shared" si="6"/>
        <v>2199086.8618124514</v>
      </c>
    </row>
    <row r="110" spans="1:12" x14ac:dyDescent="0.25">
      <c r="A110" s="158" t="s">
        <v>3912</v>
      </c>
      <c r="B110" s="159">
        <f>753-'اوراق بدون ریسک'!$AD$19</f>
        <v>594</v>
      </c>
      <c r="C110" s="160">
        <f t="shared" si="6"/>
        <v>2238381.3381752083</v>
      </c>
      <c r="D110" s="160">
        <f t="shared" si="6"/>
        <v>2202266.9451218839</v>
      </c>
      <c r="E110" s="160">
        <f t="shared" si="6"/>
        <v>2166736.1923701833</v>
      </c>
      <c r="F110" s="160">
        <f t="shared" si="6"/>
        <v>2131779.6321849809</v>
      </c>
      <c r="G110" s="160">
        <f t="shared" si="6"/>
        <v>2097387.9700202229</v>
      </c>
      <c r="H110" s="160">
        <f t="shared" si="6"/>
        <v>2063552.0620292723</v>
      </c>
      <c r="I110" s="160">
        <f t="shared" si="6"/>
        <v>2030262.9126196678</v>
      </c>
      <c r="J110" s="160">
        <f t="shared" si="6"/>
        <v>1997511.6720444215</v>
      </c>
      <c r="K110" s="160">
        <f t="shared" si="6"/>
        <v>1965289.6340332674</v>
      </c>
      <c r="L110" s="160">
        <f t="shared" si="6"/>
        <v>1933588.2334629716</v>
      </c>
    </row>
    <row r="111" spans="1:12" x14ac:dyDescent="0.25">
      <c r="A111" s="171" t="s">
        <v>3913</v>
      </c>
      <c r="B111" s="172">
        <f>757-'اوراق بدون ریسک'!$AD$19</f>
        <v>598</v>
      </c>
      <c r="C111" s="173">
        <f t="shared" si="6"/>
        <v>2233971.3393401341</v>
      </c>
      <c r="D111" s="173">
        <f t="shared" si="6"/>
        <v>2197687.3642688417</v>
      </c>
      <c r="E111" s="173">
        <f t="shared" si="6"/>
        <v>2161993.6799094034</v>
      </c>
      <c r="F111" s="173">
        <f t="shared" si="6"/>
        <v>2126880.6672677505</v>
      </c>
      <c r="G111" s="173">
        <f t="shared" si="6"/>
        <v>2092338.8643521529</v>
      </c>
      <c r="H111" s="173">
        <f t="shared" si="6"/>
        <v>2058358.9636047122</v>
      </c>
      <c r="I111" s="173">
        <f t="shared" si="6"/>
        <v>2024931.8093788428</v>
      </c>
      <c r="J111" s="173">
        <f t="shared" si="6"/>
        <v>1992048.3954548032</v>
      </c>
      <c r="K111" s="173">
        <f t="shared" si="6"/>
        <v>1959699.8625966886</v>
      </c>
      <c r="L111" s="173">
        <f t="shared" si="6"/>
        <v>1927877.4961499507</v>
      </c>
    </row>
    <row r="112" spans="1:12" x14ac:dyDescent="0.25">
      <c r="A112" s="155" t="s">
        <v>3914</v>
      </c>
      <c r="B112" s="156">
        <f>774-'اوراق بدون ریسک'!$AD$19</f>
        <v>615</v>
      </c>
      <c r="C112" s="157">
        <f t="shared" si="6"/>
        <v>2215325.5682827346</v>
      </c>
      <c r="D112" s="157">
        <f t="shared" si="6"/>
        <v>2178330.1494385698</v>
      </c>
      <c r="E112" s="157">
        <f t="shared" si="6"/>
        <v>2141953.5331867398</v>
      </c>
      <c r="F112" s="157">
        <f t="shared" si="6"/>
        <v>2106185.3526264206</v>
      </c>
      <c r="G112" s="157">
        <f t="shared" si="6"/>
        <v>2071015.414812424</v>
      </c>
      <c r="H112" s="157">
        <f t="shared" si="6"/>
        <v>2036433.6978298617</v>
      </c>
      <c r="I112" s="157">
        <f t="shared" si="6"/>
        <v>2002430.3479220497</v>
      </c>
      <c r="J112" s="157">
        <f t="shared" si="6"/>
        <v>1968995.6766634441</v>
      </c>
      <c r="K112" s="157">
        <f t="shared" si="6"/>
        <v>1936120.158180956</v>
      </c>
      <c r="L112" s="157">
        <f t="shared" si="6"/>
        <v>1903794.4264225727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3765</v>
      </c>
      <c r="I1" t="s">
        <v>3771</v>
      </c>
    </row>
    <row r="2" spans="1:12" x14ac:dyDescent="0.25">
      <c r="A2">
        <v>1</v>
      </c>
      <c r="B2" t="s">
        <v>3759</v>
      </c>
      <c r="G2" t="s">
        <v>3763</v>
      </c>
      <c r="H2" t="s">
        <v>3766</v>
      </c>
      <c r="I2" t="s">
        <v>3772</v>
      </c>
    </row>
    <row r="3" spans="1:12" x14ac:dyDescent="0.25">
      <c r="A3">
        <v>2</v>
      </c>
      <c r="B3" t="s">
        <v>3760</v>
      </c>
      <c r="G3" s="129"/>
      <c r="H3" t="s">
        <v>3767</v>
      </c>
      <c r="I3" t="s">
        <v>3773</v>
      </c>
    </row>
    <row r="4" spans="1:12" x14ac:dyDescent="0.25">
      <c r="A4">
        <v>3</v>
      </c>
      <c r="B4" t="s">
        <v>3761</v>
      </c>
      <c r="H4" t="s">
        <v>3768</v>
      </c>
      <c r="L4" s="129"/>
    </row>
    <row r="5" spans="1:12" x14ac:dyDescent="0.25">
      <c r="H5" t="s">
        <v>3770</v>
      </c>
    </row>
    <row r="6" spans="1:12" x14ac:dyDescent="0.25">
      <c r="B6" s="129" t="s">
        <v>3764</v>
      </c>
      <c r="H6" t="s">
        <v>3774</v>
      </c>
    </row>
    <row r="7" spans="1:12" x14ac:dyDescent="0.25">
      <c r="H7" t="s">
        <v>3775</v>
      </c>
    </row>
    <row r="8" spans="1:12" x14ac:dyDescent="0.25">
      <c r="H8" t="s">
        <v>3776</v>
      </c>
    </row>
    <row r="9" spans="1:12" x14ac:dyDescent="0.25">
      <c r="H9" t="s">
        <v>3789</v>
      </c>
    </row>
    <row r="10" spans="1:12" x14ac:dyDescent="0.25">
      <c r="H10" t="s">
        <v>3790</v>
      </c>
    </row>
    <row r="11" spans="1:12" x14ac:dyDescent="0.25">
      <c r="H11" t="s">
        <v>3791</v>
      </c>
    </row>
    <row r="12" spans="1:12" x14ac:dyDescent="0.25">
      <c r="H12" t="s">
        <v>3793</v>
      </c>
    </row>
    <row r="13" spans="1:12" x14ac:dyDescent="0.25">
      <c r="H13" t="s">
        <v>3792</v>
      </c>
    </row>
    <row r="18" spans="1:8" x14ac:dyDescent="0.25">
      <c r="A18" s="105" t="s">
        <v>3777</v>
      </c>
      <c r="B18" s="105"/>
      <c r="C18" s="105"/>
      <c r="D18" s="105"/>
    </row>
    <row r="19" spans="1:8" x14ac:dyDescent="0.25">
      <c r="A19" s="105">
        <v>1</v>
      </c>
      <c r="B19" s="105" t="s">
        <v>3778</v>
      </c>
      <c r="C19" s="105" t="s">
        <v>3780</v>
      </c>
      <c r="D19" s="105"/>
    </row>
    <row r="20" spans="1:8" x14ac:dyDescent="0.25">
      <c r="A20" s="105">
        <v>2</v>
      </c>
      <c r="B20" s="105" t="s">
        <v>3779</v>
      </c>
      <c r="C20" s="105" t="s">
        <v>3781</v>
      </c>
      <c r="D20" s="105" t="s">
        <v>3782</v>
      </c>
      <c r="G20" t="s">
        <v>3783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3787</v>
      </c>
      <c r="H38" s="22"/>
    </row>
    <row r="39" spans="1:8" x14ac:dyDescent="0.25">
      <c r="A39">
        <v>1</v>
      </c>
      <c r="B39" t="s">
        <v>3784</v>
      </c>
    </row>
    <row r="40" spans="1:8" x14ac:dyDescent="0.25">
      <c r="A40">
        <v>2</v>
      </c>
      <c r="B40" t="s">
        <v>3788</v>
      </c>
    </row>
    <row r="41" spans="1:8" x14ac:dyDescent="0.25">
      <c r="A41">
        <v>3</v>
      </c>
      <c r="B41" t="s">
        <v>3785</v>
      </c>
    </row>
    <row r="42" spans="1:8" x14ac:dyDescent="0.25">
      <c r="A42">
        <v>4</v>
      </c>
      <c r="B42" t="s">
        <v>3786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1274</v>
      </c>
      <c r="B1" t="s">
        <v>1275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1382</v>
      </c>
      <c r="B1" s="102" t="s">
        <v>1383</v>
      </c>
      <c r="C1" s="102" t="s">
        <v>1384</v>
      </c>
      <c r="D1" s="102" t="s">
        <v>1385</v>
      </c>
      <c r="E1" s="102" t="s">
        <v>1386</v>
      </c>
      <c r="F1" s="102" t="s">
        <v>1387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3847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3848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3849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3850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3851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3852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3853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3854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3855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3856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3857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3858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3859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3860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3861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3862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3863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3864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3865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3866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3867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3868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3869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3870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3871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3872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3873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3874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3875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3876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3877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3878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3879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3880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3881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3882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3883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3884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3885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3886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3887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3888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3889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1282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1283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1284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1285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1286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1287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1288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1289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1290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1291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1292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1293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1294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1295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1296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1297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1298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1299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1300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1301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1302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1303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1304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1305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1306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1307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1308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1309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1310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1311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1312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1313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1314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1315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1316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1317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1318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1319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1320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1321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1322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1323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1324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1325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1326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1327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1328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1329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1330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1331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1332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1333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1334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1335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1336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1337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1338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1339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1340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1341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1342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1343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1344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1345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1346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1347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1348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1349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1350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1351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1352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1353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1354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1355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1356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1357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1358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1359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1360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1361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1362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1363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1364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1365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1366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1367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1368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1369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1370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1371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1372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1373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1374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1375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1376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1377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1378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1379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1380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1381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1388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1389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1390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1391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1392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1393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1394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1395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1396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1397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1398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1399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1400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1401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1402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1403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1404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1405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1406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1407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1408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1409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1410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1411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1412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1413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1414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1415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1416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1417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1418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1419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1420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1421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1422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1423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1424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1425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1426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1427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1428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1429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1430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1431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1432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1433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1434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1435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1436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1437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1438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1439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1440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1441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1442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1443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1444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1445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1446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1447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1448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1449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1450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1451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1452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1453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1454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1455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1456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1457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1458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1459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1460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1461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1462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1463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1464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1465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1466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1467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1468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1469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1470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1471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1472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1473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1474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1475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1476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1477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1478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1479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1480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1481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1482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1483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1484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1485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1486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1487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1488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1489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1490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1491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1492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1493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1494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1495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1496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1497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1498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1499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1500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1501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1502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1503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1504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1505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1506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1507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1508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1509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1510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1511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1512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1513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1514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1515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1516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1517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1518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1519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1520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1521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1522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1523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1524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1525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1526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1527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1528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1529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1530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1531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1532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1533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1534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1535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1536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1537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1538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1539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1540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1541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1542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1543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1544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1545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1546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1547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1548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1549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1550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1551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1552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1553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1554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1555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1556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1557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1558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1559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1560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1561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1562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1563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1564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1565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1566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1567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1568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1569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1570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1571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1572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1573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1574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1575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1576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1577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1578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1579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1580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1581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1582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1583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1584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1585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1586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1587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1588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1589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1590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1591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1592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1593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1594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1595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1596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1597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1598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1599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1600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1601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1602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1603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1604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1605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1606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1607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1608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1609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1610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1611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1612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1613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1614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1615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1616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1617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1618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1619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1620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1621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1622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1623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1624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1625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1626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1627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1628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1629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1630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1631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1632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1633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1634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1635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1636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1637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1638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1639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1640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1641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1642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1643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1644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1645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1646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1647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1648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1649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1650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1651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1652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1653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1654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1655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1656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1657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1658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1659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1660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1661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1662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1663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1664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1665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1666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1667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1668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1669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1670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1671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1672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1673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1674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1675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1676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1677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1678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1679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1680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1681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1682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1683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1684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1685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1686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1687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1688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1689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1690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1691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1692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1693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1694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1695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1696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1697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1698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1699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1700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1701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1702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1703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1704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1705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1706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1707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1708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1709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1710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1711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1712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1713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1714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1715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1716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1717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1718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1719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1720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1721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1722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1723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1724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1725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1726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1727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1728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1729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1730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1731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1732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1733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1734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1735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1736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1737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1738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1739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1740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1741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1742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1743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1744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1745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1746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1747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1748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1749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1750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1751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1752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1753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1754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1755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1756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1757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1758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1759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1760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1761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1762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1763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1764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1765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1766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1767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1768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1769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1770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1771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1772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1773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1774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1775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1776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1777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1778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1779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1780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1781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1782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1783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1784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1785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1786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1787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1788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1789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1790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1791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1792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1793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1794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1795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1796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1797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1798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1799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1800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1801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1802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1803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1804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1805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1806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1807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1808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1809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1810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1811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1812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1813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1814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1815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1816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1817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1818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1819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1820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1821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1822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1823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1824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1825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1826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1827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1828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1829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1830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1831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1832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1833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1834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1835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1836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1837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1838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1839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1840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1841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1842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1843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1844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1845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1846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1847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1848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1849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1850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1851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1852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1853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1854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1855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1856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1857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1858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1859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1860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1861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1862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1863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1864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1865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1866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1867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1868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1869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1870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1871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1872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1873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1874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1875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1876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1877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1878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1879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1880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1881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1882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1883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1884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1885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1886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1887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1888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1889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1890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1891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1892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1893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1894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1895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1896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1897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1898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1899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1900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1901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1902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1903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1904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1905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1906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1907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1908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1909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1910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1911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1912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1913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1914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1915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1916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1917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1918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1919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1920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1921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1922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1923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1924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1925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1926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1927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1928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1929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1930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1931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1932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1933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1934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1935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1936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1937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1938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1939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1940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1941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1942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1943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1944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1945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1946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1947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1948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1949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1950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1951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1952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1953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1954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1955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1956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1957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1958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1959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1960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1961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1962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1963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1964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1965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1966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1967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1968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1969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1970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1971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1972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1973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1974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1975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1976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1977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1978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1979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1980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1981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1982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1983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1984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1985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1986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1987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1988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1989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1990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1991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1992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1993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1994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1995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1996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1997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1998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1999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2000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2001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2002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2003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2004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2005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2006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2007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2008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2009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2010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2011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2012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2013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2014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2015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2016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2017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2018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2019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2020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2021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2022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2023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2024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2025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2026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2027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2028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2029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2030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2031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2032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2033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2034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2035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2036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2037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2038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2039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2040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2041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2042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2043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2044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2045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2046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2047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2048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2049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2050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2051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2052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2053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2054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2055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2056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2057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2058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2059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2060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2061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2062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2063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2064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2065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2066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2067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2068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2069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2070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2071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2072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2073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2074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2075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2076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2077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2078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2079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2080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2081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2082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2083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2084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2085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2086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2087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2088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2089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2090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2091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2092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2093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2094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2095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2096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2097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2098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2099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2100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2101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2102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2103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2104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2105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2106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2107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2108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2109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2110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2111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2112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2113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2114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2115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2116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2117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2118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2119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2120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2121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2122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2123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2124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2125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2126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2127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2128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2129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2130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2131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2132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2133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2134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2135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2136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2137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2138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2139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2140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2141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2142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2143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2144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2145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2146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2147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2148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2149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2150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2151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2152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2153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2154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2155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2156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2157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2158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2159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2160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2161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2162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2163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2164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2165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2166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2167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2168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2169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2170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2171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2172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2173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2174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2175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2176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2177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2178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2179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2180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2181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2182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2183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2184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2185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2186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2187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2188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2189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2190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2191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2192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2193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2194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2195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2196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2197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2198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2199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2200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2201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2202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2203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2204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2205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2206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2207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2208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2209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2210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2211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2212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2213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2214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2215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2216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2217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2218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2219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2220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2221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2222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2223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2224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2225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2226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2227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2228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2229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2230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2231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2232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2233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2234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2235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2236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2237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2238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2239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2240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2241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2242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2243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2244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2245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2246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2247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2248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2249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2250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2251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2252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2253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2254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2255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2256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2257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2258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2259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2260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2261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2262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2263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2264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2265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2266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2267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2268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2269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2270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2271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2272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2273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2274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2275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2276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2277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2278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2279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2280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2281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2282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2283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2284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2285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2286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2287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2288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2289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2290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2291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2292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2293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2294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2295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2296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2297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2298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2299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2300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2301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2302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2303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2304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2305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2306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2307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2308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2309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2310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2311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2312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2313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2314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2315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2316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2317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2318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2319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2320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2321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2322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2323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2324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2325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2326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2327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2328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2329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2330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2331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2332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2333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2334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2335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2336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2337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2338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2339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2340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2341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2342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2343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2344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2345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2346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2347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2348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2349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2350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2351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2352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2353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2354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2355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2356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2357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2358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2359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2360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2361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2362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2363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2364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2365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2366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2367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2368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2369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2370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2371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2372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2373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2374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2375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2376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2377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2378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2379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2380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2381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2382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2383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2384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2385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2386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2387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2388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2389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2390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2391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2392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2393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2394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2395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2396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2397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2398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2399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2400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2401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2402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2403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2404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2405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2406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2407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2408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2409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2410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2411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2412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2413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2414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2415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2416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2417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2418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2419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2420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2421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2422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2423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2424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2425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2426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2427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2428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2429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2430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2431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2432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2433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2434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2435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2436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2437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2438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2439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2440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2441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2442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2443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2444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2445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2446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2447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2448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2449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2450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2451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2452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2453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2454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2455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2456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2457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2458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2459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2460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2461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2462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2463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2464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2465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2466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2467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2468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2469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2470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2471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2472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2473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2474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2475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2476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2477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2478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2479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2480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2481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2482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2483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2484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2485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2486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2487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2488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2489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2490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2491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2492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2493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2494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2495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2496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2497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2498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2499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2500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2501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2502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2503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2504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2505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2506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2507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2508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2509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2510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2511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2512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2513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2514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2515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2516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2517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2518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2519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2520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2521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2522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2523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2524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2525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2526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2527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2528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2529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2530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2531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2532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2533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2534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2535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2536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2537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2538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2539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2540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2541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2542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2543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2544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2545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2546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2547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2548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2549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2550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2551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2552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2553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2554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2555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2556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2557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2558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2559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2560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2561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2562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2563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2564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2565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2566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2567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2568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2569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2570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2571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2572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2573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2574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2575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2576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2577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2578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2579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2580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2581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2582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2583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2584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2585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2586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2587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2588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2589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2590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2591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2592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2593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2594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2595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2596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2597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2598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2599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2600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2601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2602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2603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2604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2605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2606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2607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2608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2609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2610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2611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2612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2613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2614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2615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2616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2617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2618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2619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2620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2621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2622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2623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2624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2625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2626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2627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2628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2629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2630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2631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2632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2633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2634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2635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2636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2637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2638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2639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2640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2641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2642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2643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2644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2645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2646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2647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2648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2649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2650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2651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2652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2653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2654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2655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2656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2657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2658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2659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2660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2661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2662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2663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2664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2665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2666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2667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2668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2669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2670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2671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2672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2673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2674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2675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2676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2677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2678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2679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2680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2681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2682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2683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2684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2685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2686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2687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2688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2689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2690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2691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2692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2693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2694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2695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2696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2697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2698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2699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2700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2701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2702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2703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2704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2705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2706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2707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2708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2709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2710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2711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2712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2713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2714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2715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2716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2717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2718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2719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2720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2721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2722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2723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2724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2725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2726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2727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2728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2729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2730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2731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2732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2733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2734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2735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2736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2737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2738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2739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2740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2741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2742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2743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2744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2745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2746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2747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2748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2749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2750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2751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2752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2753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2754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2755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2756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2757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2758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2759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2760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2761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2762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2763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2764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2765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2766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2767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2768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2769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2770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2771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2772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2773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2774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2775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2776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2777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2778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2779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2780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2781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2782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2783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2784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2785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2786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2787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2788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2789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2790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2791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2792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2793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2794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2795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2796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2797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2798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2799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2800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2801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2802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2803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2804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2805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2806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2807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2808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2809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2810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2811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2812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2813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2814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2815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2816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2817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2818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2819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2820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2821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2822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2823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2824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2825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2826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2827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2828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2829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2830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2831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2832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2833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2834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2835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2836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2837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2838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2839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2840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2841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2842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2843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2844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2845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2846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2847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2848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2849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2850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2851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2852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2853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2854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2855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2856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2857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2858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2859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2860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2861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2862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2863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2864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2865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2866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2867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2868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2869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2870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2871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2872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2873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2874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2875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2876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2877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2878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2879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2880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2881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2882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2883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2884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2885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2886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2887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2888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2889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2890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2891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2892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2893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2894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2895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2896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2897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2898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2899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2900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2901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2902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2903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2904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2905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2906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2907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2908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2909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2910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2911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2912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2913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2914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2915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2916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2917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2918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2919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2920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2921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2922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2923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2924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2925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2926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2927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2928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2929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2930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2931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2932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2933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2934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2935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2936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2937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2938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2939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2940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2941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2942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2943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2944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2945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2946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2947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2948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2949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2950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2951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2952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2953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2954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2955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2956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2957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2958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2959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2960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2961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2962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2963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2964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2965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2966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2967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2968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2969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2970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2971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2972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2973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2974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2975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2976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2977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2978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2979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2980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2981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2982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2983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2984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2985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2986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2987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2988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2989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2990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2991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2992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2993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2994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2995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2996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2997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2998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2999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3000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3001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3002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3003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3004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3005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3006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3007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3008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3009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3010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3011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3012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3013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3014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3015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3016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3017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3018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3019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3020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3021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3022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3023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3024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3025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3026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3027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3028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3029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3030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3031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3032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3033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3034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3035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3036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3037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3038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3039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3040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3041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3042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3043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3044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3045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3046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3047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3048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3049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3050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3051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3052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3053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3054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3055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3056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3057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3058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3059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3060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3061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3062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3063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3064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3065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3066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3067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3068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3069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3070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3071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3072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3073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3074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3075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3076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3077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3078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3079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3080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3081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3082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3083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3084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3085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3086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3087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3088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3089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3090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3091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3092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3093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3094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3095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3096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3097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3098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3099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3100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3101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3102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3103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3104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3105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3106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3107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3108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3109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3110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3111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3112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3113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3114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3115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3116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3117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3118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3119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3120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3121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3122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3123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3124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3125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3126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3127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3128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3129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3130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3131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3132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3133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3134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3135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3136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3137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3138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3139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3140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3141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3142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3143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3144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3145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3146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3147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3148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3149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3150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3151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3152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3153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3154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3155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3156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3157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3158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3159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3160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3161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3162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3163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3164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3165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3166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3167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3168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3169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3170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3171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3172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3173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3174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3175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3176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3177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3178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3179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3180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3181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3182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3183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3184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3185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3186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3187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3188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3189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3190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3191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3192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3193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3194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3195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3196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3197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3198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3199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3200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3201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3202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3203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3204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3205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3206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3207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3208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3209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3210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3211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3212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3213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3214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3215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3216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3217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3218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3219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3220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3221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3222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3223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3224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3225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3226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3227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3228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3229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3230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3231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3232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3233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3234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3235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3236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3237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3238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3239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3240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3241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3242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3243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3244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3245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3246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3247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3248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3249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3250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3251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3252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3253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3254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3255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3256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3257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3258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3259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3260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3261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3262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3263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3264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3265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3266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3267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3268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3269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3270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3271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3272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3273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3274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3275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3276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3277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3278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3279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3280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3281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3282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3283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3284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3285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3286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3287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3288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3289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3290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3291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3292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3293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3294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3295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3296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3297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3298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3299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3300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3301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3302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3303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3304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3305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3306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3307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3308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3309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3310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3311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3312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3313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3314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3315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3316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3317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3318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3319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3320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3321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3322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3323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3324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3325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3326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3327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3328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3329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3330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3331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3332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3333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3334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3335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3336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3337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3338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3339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3340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3341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3342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3343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3344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3345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3346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3347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3348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3349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3350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3351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3352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3353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3354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3355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3356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3357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3358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3359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3360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3361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3362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3363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3364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3365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3366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3367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3368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3369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3370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3371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3372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3373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3374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3375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3376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3377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3378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3379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3380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3381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3382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3383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3384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3385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3386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3387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3388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3389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3390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3391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3392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3393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3394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3395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3396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3397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3398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3399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3400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3401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3402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3403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3404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3405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3406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3407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3408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3409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3410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3411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3412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3413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3414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3415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3416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3417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3418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3419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3420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3421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3422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3423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3424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3425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3426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3427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3428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3429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3430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3431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3432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3433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3434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3435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3436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3437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3438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3439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3440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3441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3442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3443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3444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3445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3446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3447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3448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3449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3450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3451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3452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3453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3454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3455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3456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3457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3458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3459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3460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3461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3462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3463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3464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3465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3466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3467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3468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3469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3470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3471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3472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3473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3474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3475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3476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3477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3478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3479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3480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3481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3482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3483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3484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3485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3486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3487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3488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3489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3490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3491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3492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3493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3494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3495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3496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3497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3498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3499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3500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3501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3502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3503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3504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3505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3506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3507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3508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3509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3510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3511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3512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3513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3514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3515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3516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3517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3518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3519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3520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3521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3522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3523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3524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3525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3526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3527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3528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3529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3530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3531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3532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3533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3534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3535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3536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3537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3538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3539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3540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3541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3542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3543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3544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3545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3546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3547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3548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3549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3550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3551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3552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3553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3554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3555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3556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3557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3558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3559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3560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3561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3562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3563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3564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3565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3566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3567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3568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3569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3570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3571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3572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3573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3574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3575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3576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3577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3578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3579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3580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3581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3582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3583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3584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3585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3586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3587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3588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3589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3590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3591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3592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3593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3594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3595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3596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3597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3598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3599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3600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3601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3602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3603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3604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3605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3606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3607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3608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3609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3610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3611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3612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3613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3614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3615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3616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3617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3618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3619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3620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3621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3622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3623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3624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3625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3626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3627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3628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3629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3630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3631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3632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3633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3634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3635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3636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3637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3638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3639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3640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3641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3642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3643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3644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3645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3646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3647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3648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3649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3650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3651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3652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3653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3654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3655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3656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3657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3658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3659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3660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3661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3662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3663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3664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3665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3666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3667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3668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3669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3670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3671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3672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3673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3674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3675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3676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3678</v>
      </c>
      <c r="B1" s="102" t="s">
        <v>1387</v>
      </c>
      <c r="C1" s="102" t="s">
        <v>1386</v>
      </c>
      <c r="D1" s="102" t="s">
        <v>1382</v>
      </c>
      <c r="E1" s="102" t="s">
        <v>1383</v>
      </c>
      <c r="F1" s="102" t="s">
        <v>1384</v>
      </c>
      <c r="G1" s="102" t="s">
        <v>1385</v>
      </c>
      <c r="H1" s="102"/>
      <c r="I1" s="102" t="s">
        <v>3686</v>
      </c>
      <c r="J1" s="102" t="s">
        <v>1142</v>
      </c>
      <c r="K1" s="102" t="s">
        <v>1273</v>
      </c>
      <c r="L1" s="102" t="s">
        <v>3687</v>
      </c>
      <c r="M1" s="102" t="s">
        <v>3688</v>
      </c>
      <c r="N1" s="102" t="s">
        <v>191</v>
      </c>
      <c r="O1" s="102" t="s">
        <v>3691</v>
      </c>
      <c r="P1" s="147" t="s">
        <v>3692</v>
      </c>
      <c r="Q1" s="147" t="s">
        <v>3693</v>
      </c>
      <c r="R1" s="102" t="s">
        <v>941</v>
      </c>
      <c r="S1" s="102" t="s">
        <v>3689</v>
      </c>
      <c r="T1" s="102" t="s">
        <v>1142</v>
      </c>
      <c r="U1" s="102" t="s">
        <v>1273</v>
      </c>
      <c r="V1" s="102" t="s">
        <v>3690</v>
      </c>
      <c r="W1" s="102" t="s">
        <v>3688</v>
      </c>
      <c r="X1" s="102" t="s">
        <v>191</v>
      </c>
    </row>
    <row r="2" spans="1:35" x14ac:dyDescent="0.25">
      <c r="A2" s="102">
        <v>1</v>
      </c>
      <c r="B2" s="144" t="s">
        <v>3677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3676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3675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3679</v>
      </c>
      <c r="AC4" s="102" t="s">
        <v>3680</v>
      </c>
      <c r="AD4" s="102" t="s">
        <v>3681</v>
      </c>
      <c r="AE4" s="102" t="s">
        <v>3682</v>
      </c>
      <c r="AH4" s="102" t="s">
        <v>3683</v>
      </c>
      <c r="AI4" s="116">
        <v>100000000</v>
      </c>
    </row>
    <row r="5" spans="1:35" x14ac:dyDescent="0.25">
      <c r="A5" s="102">
        <v>4</v>
      </c>
      <c r="B5" s="144" t="s">
        <v>3674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3673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3684</v>
      </c>
      <c r="AI6" s="102">
        <v>25</v>
      </c>
    </row>
    <row r="7" spans="1:35" x14ac:dyDescent="0.25">
      <c r="A7" s="102">
        <v>6</v>
      </c>
      <c r="B7" s="144" t="s">
        <v>3672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3671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3670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3669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3685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3668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3667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3666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3665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3664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3663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3662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3661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3660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3659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3658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3657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3656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3655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3654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3653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3652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3651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3650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3649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3648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3647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3646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3645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3644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3643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3642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3641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3640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3639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3638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3637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3636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3635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3634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3633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3632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3631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3630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3629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3628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3627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3626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3625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3624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3623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3622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3621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3620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3619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3618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3617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3616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3615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3614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3613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3612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3611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3610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3609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3608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3607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3606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3605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3604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3603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3602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3601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3600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3599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3598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3597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3596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3595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3594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3593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3592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3591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3590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3589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3588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3587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3586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3585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3584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3583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3582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3581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3580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3579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3578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3577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3576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3575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3574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3573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3572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3571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3570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3569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3568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3567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3566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3565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3564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3563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3562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3561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3560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3559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3558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3557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3556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3555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3554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3553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3552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3551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3550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3549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3548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3547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3546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3545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3544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3543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3542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3541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3540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3539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3538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3537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3536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3535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3534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3533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3532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3531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3530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3529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3528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3527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3526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3525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3524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3523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3522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3521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3520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3519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3518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3517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3516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3515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3514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3513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3512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3511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3510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3509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3508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3507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3506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3505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3504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3503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3502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3501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3500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3499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3498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3497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3496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3495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3494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3493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3492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3491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3490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3489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3488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3487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3486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3485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3484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3483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3482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3481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3480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3479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3478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3477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3476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3475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3474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3473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3472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3471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3470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3469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3468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3467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3466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3465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3464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3463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3462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3461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3460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3459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3458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3457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3456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3455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3454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3453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3452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3451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3450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3449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3448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3447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3446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3445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3444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3443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3442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3441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3440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3439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3438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3437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3436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3435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3434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3433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3432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3431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3430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3429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3428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3427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3426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3425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3424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3423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3422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3421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3420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3419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3418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3417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3416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3415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3414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3413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3412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3411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3410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3409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3408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3407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3406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3405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3404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3403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3402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3401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3400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3399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3398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3397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3396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3395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3394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3393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3392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3391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3390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3389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3388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3387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3386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3385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3384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3383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3382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3381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3380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3379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3378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3377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3376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3375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3374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3373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3372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3371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3370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3369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3368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3367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3366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3365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3364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3363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3362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3361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3360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3359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3358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3357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3356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3355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3354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3353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3352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3351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3350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3349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3348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3347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3346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3345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3344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3343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3342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3341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3340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3339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3338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3337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3336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3335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3334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3333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3332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3331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3330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3329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3328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3327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3326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3325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3324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3323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3322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3321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3320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3319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3318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3317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3316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3315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3314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3313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3312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3311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3310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3309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3308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3307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3306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3305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3304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3303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3302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3301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3300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3299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3298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3297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3296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3295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3294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3293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3292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3291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3290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3289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3288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3287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3286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3285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3284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3283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3282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3281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3280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3279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3278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3277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3276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3275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3274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3273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3272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3271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3270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3269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3268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3267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3266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3265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3264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3263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3262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3261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3260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3259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3258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3257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3256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3255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3254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3253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3252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3251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3250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3249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3248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3247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3246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3245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3244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3243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3242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3241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3240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3239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3238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3237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3236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3235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3234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3233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3232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3231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3230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3229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3228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3227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3226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3225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3224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3223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3222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3221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3220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3219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3218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3217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3216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3215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3214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3213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3212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3211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3210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3209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3208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3207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3206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3205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3204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3203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3202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3201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3200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3199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3198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3197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3196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3195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3194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3193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3192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3191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3190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3189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3188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3187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3186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3185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3184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3183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3182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3181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3180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3179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3178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3177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3176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3175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3174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3173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3172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3171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3170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3169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3168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3167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3166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3165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3164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3163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3162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3161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3160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3159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3158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3157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3156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3155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3154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3153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3152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3151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3150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3149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3148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3147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3146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3145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3144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3143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3142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3141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3140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3139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3138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3137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3136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3135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3134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3133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3132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3131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3130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3129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3128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3127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3126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3125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3124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3123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3122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3121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3120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3119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3118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3117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3116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3115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3114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3113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3112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3111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3110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3109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3108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3107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3106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3105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3104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3103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3102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3101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3100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3099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3098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3097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3096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3095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3094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3093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3092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3091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3090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3089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3088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3087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3086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3085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3084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3083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3082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3081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3080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3079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3078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3077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3076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3075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3074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3073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3072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3071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3070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3069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3068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3067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3066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3065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3064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3063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3062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3061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3060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3059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3058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3057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3056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3055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3054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3053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3052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3051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3050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3049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3048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3047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3046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3045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3044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3043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3042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3041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3040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3039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3038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3037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3036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3035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3034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3033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3032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3031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3030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3029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3028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3027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3026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3025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3024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3023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3022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3021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3020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3019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3018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3017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3016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3015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3014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3013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3012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3011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3010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3009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3008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3007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3006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3005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3004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3003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3002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3001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3000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2999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2998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2997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2996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2995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2994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2993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2992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2991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2990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2989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2988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2987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2986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2985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2984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2983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2982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2981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2980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2979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2978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2977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2976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2975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2974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2973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2972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2971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2970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2969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2968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2967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2966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2965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2964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2963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2962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2961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2960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2959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2958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2957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2956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2955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2954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2953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2952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2951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2950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2949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2948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2947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2946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2945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2944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2943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2942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2941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2940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2939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2938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2937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2936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2935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2934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2933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2932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2931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2930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2929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2928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2927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2926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2925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2924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2923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2922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2921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2920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2919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2918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2917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2916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2915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2914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2913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2912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2911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2910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2909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2908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2907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2906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2905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2904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2903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2902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2901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2900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2899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2898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2897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2896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2895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2894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2893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2892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2891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2890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2889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2888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2887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2886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2885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2884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2883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2882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2881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2880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2879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2878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2877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2876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2875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2874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2873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2872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2871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2870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2869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2868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2867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2866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2865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2864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2863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2862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2861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2860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2859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2858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2857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2856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2855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2854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2853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2852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2851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2850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2849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2848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2847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2846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2845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2844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2843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2842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2841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2840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2839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2838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2837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2836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2835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2834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2833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2832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2831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2830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2829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2828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2827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2826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2825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2824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2823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2822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2821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2820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2819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2818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2817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2816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2815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2814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2813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2812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2811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2810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2809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2808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2807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2806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2805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2804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2803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2802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2801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2800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2799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2798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2797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2796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2795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2794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2793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2792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2791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2790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2789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2788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2787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2786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2785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2784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2783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2782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2781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2780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2779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2778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2777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2776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2775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2774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2773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2772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2771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2770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2769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2768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2767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2766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2765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2764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2763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2762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2761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2760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2759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2758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2757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2756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2755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2754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2753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2752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2751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2750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2749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2748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2747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2746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2745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2744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2743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2742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2741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2740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2739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2738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2737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2736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2735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2734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2733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2732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2731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2730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2729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2728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2727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2726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2725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2724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2723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2722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2721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2720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2719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2718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2717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2716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2715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2714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2713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2712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2711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2710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2709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2708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2707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2706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2705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2704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2703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2702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2701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2700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2699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2698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2697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2696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2695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2694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2693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2692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2691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2690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2689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2688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2687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2686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2685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2684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2683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2682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2681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2680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2679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2678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2677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2676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2675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2674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2673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2672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2671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2670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2669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2668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2667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2666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2665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2664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2663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2662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2661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2660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2659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2658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2657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2656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2655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2654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2653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2652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2651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2650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2649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2648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2647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2646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2645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2644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2643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2642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2641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2640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2639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2638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2637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2636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2635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2634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2633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2632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2631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2630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2629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2628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2627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2626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2625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2624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2623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2622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2621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2620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2619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2618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2617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2616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2615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2614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2613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2612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2611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2610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2609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2608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2607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2606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2605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2604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2603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2602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2601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2600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2599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2598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2597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2596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2595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2594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2593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2592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2591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2590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2589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2588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2587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2586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2585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2584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2583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2582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2581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2580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2579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2578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2577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2576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2575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2574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2573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2572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2571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2570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2569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2568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2567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2566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2565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2564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2563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2562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2561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2560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2559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2558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2557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2556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2555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2554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2553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2552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2551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2550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2549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2548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2547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2546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2545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2544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2543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2542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2541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2540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2539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2538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2537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2536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2535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2534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2533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2532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2531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2530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2529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2528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2527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2526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2525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2524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2523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2522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2521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2520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2519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2518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2517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2516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2515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2514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2513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2512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2511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2510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2509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2508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2507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2506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2505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2504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2503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2502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2501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2500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2499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2498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2497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2496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2495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2494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2493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2492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2491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2490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2489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2488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2487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2486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2485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2484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2483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2482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2481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2480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2479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2478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2477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2476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2475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2474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2473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2472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2471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2470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2469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2468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2467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2466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2465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2464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2463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2462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2461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2460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2459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2458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2457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2456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2455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2454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2453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2452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2451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2450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2449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2448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2447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2446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2445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2444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2443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2442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2441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2440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2439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2438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2437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2436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2435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2434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2433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2432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2431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2430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2429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2428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2427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2426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2425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2424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2423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2422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2421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2420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2419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2418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2417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2416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2415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2414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2413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2412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2411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2410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2409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2408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2407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2406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2405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2404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2403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2402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2401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2400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2399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2398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2397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2396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2395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2394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2393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2392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2391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2390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2389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2388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2387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2386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2385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2384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2383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2382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2381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2380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2379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2378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2377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2376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2375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2374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2373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2372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2371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2370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2369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2368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2367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2366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2365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2364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2363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2362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2361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2360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2359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2358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2357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2356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2355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2354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2353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2352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2351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2350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2349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2348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2347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2346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2345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2344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2343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2342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2341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2340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2339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2338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2337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2336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2335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2334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2333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2332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2331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2330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2329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2328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2327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2326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2325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2324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2323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2322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2321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2320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2319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2318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2317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2316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2315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2314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2313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2312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2311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2310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2309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2308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2307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2306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2305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2304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2303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2302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2301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2300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2299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2298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2297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2296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2295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2294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2293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2292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2291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2290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2289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2288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2287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2286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2285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2284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2283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2282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2281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2280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2279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2278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2277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2276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2275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2274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2273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2272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2271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2270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2269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2268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2267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2266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2265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2264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2263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2262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2261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2260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2259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2258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2257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2256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2255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2254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2253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2252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2251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2250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2249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2248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2247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2246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2245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2244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2243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2242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2241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2240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2239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2238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2237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2236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2235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2234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2233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2232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2231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2230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2229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2228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2227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2226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2225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2224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2223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2222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2221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2220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2219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2218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2217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2216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2215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2214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2213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2212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2211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2210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2209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2208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2207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2206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2205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2204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2203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2202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2201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2200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2199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2198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2197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2196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2195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2194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2193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2192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2191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2190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2189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2188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2187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2186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2185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2184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2183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2182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2181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2180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2179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2178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2177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2176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2175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2174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2173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2172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2171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2170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2169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2168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2167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2166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2165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2164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2163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2162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2161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2160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2159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2158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2157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2156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2155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2154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2153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2152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2151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2150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2149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2148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2147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2146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2145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2144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2143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2142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2141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2140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2139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2138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2137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2136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2135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2134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2133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2132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2131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2130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2129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2128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2127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2126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2125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2124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2123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2122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2121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2120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2119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2118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2117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2116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2115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2114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2113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2112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2111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2110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2109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2108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2107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2106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2105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2104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2103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2102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2101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2100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2099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2098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2097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2096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2095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2094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2093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2092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2091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2090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2089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2088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2087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2086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2085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2084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2083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2082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2081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2080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2079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2078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2077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2076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2075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2074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2073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2072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2071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2070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2069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2068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2067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2066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2065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2064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2063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2062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2061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2060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2059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2058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2057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2056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2055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2054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2053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2052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2051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2050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2049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2048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2047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2046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2045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2044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2043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2042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2041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2040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2039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2038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2037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2036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2035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2034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2033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2032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2031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2030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2029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2028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2027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2026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2025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2024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2023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2022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2021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2020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2019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2018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2017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2016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2015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2014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2013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2012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2011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2010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2009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2008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2007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2006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2005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2004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2003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2002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2001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2000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1999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1998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1997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1996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1995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1994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1993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1992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1991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1990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1989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1988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1987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1986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1985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1984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1983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1982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1981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1980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1979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1978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1977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1976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1975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1974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1973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1972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1971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1970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1969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1968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1967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1966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1965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1964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1963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1962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1961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1960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1959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1958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1957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1956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1955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1954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1953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1952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1951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1950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1949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1948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1947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1946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1945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1944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1943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1942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1941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1940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1939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1938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1937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1936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1935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1934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1933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1932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1931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1930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1929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1928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1927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1926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1925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1924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1923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1922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1921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1920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1919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1918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1917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1916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1915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1914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1913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1912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1911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1910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1909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1908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1907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1906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1905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1904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1903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1902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1901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1900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1899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1898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1897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1896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1895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1894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1893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1892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1891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1890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1889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1888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1887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1886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1885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1884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1883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1882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1881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1880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1879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1878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1877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1876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1875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1874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1873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1872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1871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1870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1869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1868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1867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1866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1865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1864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1863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1862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1861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1860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1859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1858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1857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1856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1855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1854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1853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1852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1851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1850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1849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1848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1847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1846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1845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1844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1843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1842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1841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1840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1839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1838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1837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1836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1835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1834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1833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1832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1831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1830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1829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1828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1827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1826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1825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1824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1823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1822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1821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1820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1819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1818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1817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1816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1815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1814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1813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1812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1811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1810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1809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1808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1807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1806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1805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1804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1803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1802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1801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1800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1799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1798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1797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1796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1795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1794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1793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1792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1791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1790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1789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1788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1787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1786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1785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1784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1783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1782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1781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1780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1779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1778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1777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1776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1775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1774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1773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1772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1771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1770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1769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1768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1767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1766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1765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1764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1763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1762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1761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1760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1759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1758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1757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1756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1755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1754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1753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1752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1751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1750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1749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1748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1747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1746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1745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1744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1743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1742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1741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1740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1739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1738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1737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1736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1735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1734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1733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1732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1731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1730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1729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1728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1727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1726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1725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1724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1723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1722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1721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1720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1719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1718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1717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1716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1715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1714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1713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1712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1711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1710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1709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1708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1707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1706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1705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1704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1703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1702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1701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1700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1699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1698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1697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1696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1695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1694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1693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1692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1691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1690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1689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1688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1687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1686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1685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1684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1683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1682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1681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1680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1679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1678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1677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1676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1675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1674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1673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1672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1671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1670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1669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1668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1667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1666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1665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1664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1663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1662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1661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1660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1659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1658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1657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1656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1655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1654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1653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1652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1651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1650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1649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1648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1647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1646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1645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1644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1643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1642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1641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1640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1639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1638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1637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1636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1635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1634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1633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1632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1631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1630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1629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1628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1627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1626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1625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1624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1623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1622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1621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1620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1619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1618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1617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1616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1615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1614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1613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1612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1611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1610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1609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1608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1607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1606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1605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1604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1603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1602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1601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1600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1599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1598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1597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1596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1595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1594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1593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1592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1591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1590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1589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1588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1587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1586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1585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1584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1583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1582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1581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1580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1579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1578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1577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1576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1575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1574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1573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1572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1571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1570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1569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1568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1567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1566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1565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1564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1563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1562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1561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1560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1559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1558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1557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1556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1555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1554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1553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1552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1551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1550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1549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1548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1547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1546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1545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1544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1543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1542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1541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1540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1539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1538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1537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1536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1535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1534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1533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1532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1531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1530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1529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1528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1527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1526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1525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1524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1523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1522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1521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1520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1519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1518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1517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1516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1515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1514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1513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1512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1511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1510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1509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1508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1507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1506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1505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1504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1503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1502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1501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1500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1499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1498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1497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1496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1495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1494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1493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1492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1491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1490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1489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1488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1487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1486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1485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1484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1483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1482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1481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1480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1479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1478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1477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1476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1475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1474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1473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1472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1471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1470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1469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1468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1467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1466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1465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1464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1463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1462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1461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1460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1459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1458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1457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1456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1455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1454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1453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1452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1451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1450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1449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1448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1447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1446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1445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1444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1443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1442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1441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1440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1439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1438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1437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1436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1435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1434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1433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1432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1431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1430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1429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1428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1427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1426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1425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1424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1423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1422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1421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1420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1419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1418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1417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1416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1415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1414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1413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1412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1411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1410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1409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1408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1407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1406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1405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1404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1403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1402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1401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1400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1399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1398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1397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1396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1395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1394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1393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1392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1391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1390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1389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1388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1381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1380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1379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1378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1377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1376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1375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1374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1373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1372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1371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1370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1369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1368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1367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1366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1365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1364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1363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1362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1361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1360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1359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1358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1357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1356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1355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1354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1353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1352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1351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1350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1349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1348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1347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1346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1345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1344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1343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1342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1341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1340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1339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1338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1337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1336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1335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1334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1333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1332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1331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1330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1329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1328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1327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1326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1325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1324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1323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1322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1321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1320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1319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1318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1317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1316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1315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1314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1313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1312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1311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1310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1309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1308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1307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1306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1305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1304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1303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1302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1301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1300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1299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1298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1297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1296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1295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1294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1293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1292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1291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1290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1289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1288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1287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1286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1285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1284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1283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1282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3996</v>
      </c>
      <c r="D3" t="s">
        <v>3995</v>
      </c>
      <c r="G3" t="s">
        <v>3997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3998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3890</v>
      </c>
      <c r="R8" t="s">
        <v>3945</v>
      </c>
      <c r="S8" t="s">
        <v>4002</v>
      </c>
    </row>
    <row r="9" spans="2:19" x14ac:dyDescent="0.25">
      <c r="C9" s="116">
        <f>C6*(1+D6/100)</f>
        <v>3255776.0000000005</v>
      </c>
      <c r="P9" t="s">
        <v>974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2018-08-26T11:11:33Z</dcterms:modified>
</cp:coreProperties>
</file>