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A25" i="18" l="1"/>
  <c r="AA28" i="18"/>
  <c r="Q44" i="18"/>
  <c r="P22" i="18"/>
  <c r="N39" i="18"/>
  <c r="Y45" i="18"/>
  <c r="Z42" i="18"/>
  <c r="Z43" i="18"/>
  <c r="Z44" i="18"/>
  <c r="Z41" i="18"/>
  <c r="Z45" i="18" s="1"/>
  <c r="Y47" i="18" s="1"/>
  <c r="R44" i="18" l="1"/>
  <c r="D55" i="50" l="1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A24" i="18" l="1"/>
  <c r="AB24" i="18" s="1"/>
  <c r="AB28" i="18"/>
  <c r="N42" i="18"/>
  <c r="AA27" i="18"/>
  <c r="AB27" i="18" s="1"/>
  <c r="D73" i="48"/>
  <c r="N41" i="18"/>
  <c r="AA26" i="18"/>
  <c r="AB26" i="18" s="1"/>
  <c r="AB25" i="18"/>
  <c r="P23" i="18"/>
  <c r="N23" i="18" s="1"/>
  <c r="N22" i="18"/>
  <c r="AB31" i="18" l="1"/>
  <c r="N29" i="18"/>
  <c r="C8" i="36" l="1"/>
  <c r="P47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N38" i="18"/>
  <c r="P19" i="18"/>
  <c r="N19" i="18" s="1"/>
  <c r="B263" i="15"/>
  <c r="Q20" i="49" l="1"/>
  <c r="P20" i="49" s="1"/>
  <c r="S18" i="49"/>
  <c r="R18" i="49" s="1"/>
  <c r="U19" i="49"/>
  <c r="T19" i="49" s="1"/>
  <c r="S33" i="18"/>
  <c r="S34" i="18" s="1"/>
  <c r="S35" i="18" s="1"/>
  <c r="S36" i="18" s="1"/>
  <c r="S37" i="18" s="1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Q22" i="49" l="1"/>
  <c r="P22" i="49"/>
  <c r="U21" i="49"/>
  <c r="T21" i="49" s="1"/>
  <c r="S22" i="49"/>
  <c r="R22" i="49" s="1"/>
  <c r="P36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7" i="18"/>
  <c r="K225" i="20" l="1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K224" i="20" s="1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24" i="20" l="1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6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5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7" i="18"/>
  <c r="AJ76" i="18" l="1"/>
  <c r="AK77" i="18"/>
  <c r="AJ75" i="18" l="1"/>
  <c r="AK76" i="18"/>
  <c r="N35" i="18"/>
  <c r="Q39" i="18" s="1"/>
  <c r="AH89" i="18" l="1"/>
  <c r="AH90" i="18" s="1"/>
  <c r="AJ74" i="18"/>
  <c r="AK75" i="18"/>
  <c r="AJ73" i="18" l="1"/>
  <c r="AK74" i="18"/>
  <c r="U44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9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0" i="18" l="1"/>
  <c r="L49" i="18"/>
  <c r="E33" i="13"/>
  <c r="G34" i="13"/>
  <c r="I97" i="20"/>
  <c r="K97" i="20"/>
  <c r="J97" i="20"/>
  <c r="F108" i="15"/>
  <c r="C20" i="18"/>
  <c r="G20" i="14"/>
  <c r="G21" i="14"/>
  <c r="L51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<sst xmlns="http://schemas.openxmlformats.org/spreadsheetml/2006/main" count="9186" uniqueCount="4353">
  <si>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</si>
  <si>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</si>
  <si>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</si>
  <si>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</si>
  <si>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</si>
  <si>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</si>
  <si>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</si>
  <si>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</si>
  <si>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</si>
  <si>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</si>
  <si>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</si>
  <si>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</si>
  <si>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</si>
  <si>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</si>
  <si>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</si>
  <si>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</si>
  <si>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</si>
  <si>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</si>
  <si>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</si>
  <si>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</si>
  <si>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</si>
  <si>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</si>
  <si>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</si>
  <si>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</si>
  <si>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</si>
  <si>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</si>
  <si>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</si>
  <si>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</si>
  <si>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</si>
  <si>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</si>
  <si>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</si>
  <si>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</si>
  <si>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</si>
  <si>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</si>
  <si>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</si>
  <si>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</si>
  <si>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</si>
  <si>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</si>
  <si>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</si>
  <si>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</si>
  <si>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</si>
  <si>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</si>
  <si>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</si>
  <si>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</si>
  <si>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</si>
  <si>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</si>
  <si>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</si>
  <si>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</si>
  <si>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</si>
  <si>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</si>
  <si>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</si>
  <si>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</si>
  <si>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</si>
  <si>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</si>
  <si>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</si>
  <si>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</si>
  <si>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</si>
  <si>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</si>
  <si>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</si>
  <si>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</si>
  <si>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</si>
  <si>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</si>
  <si>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</si>
  <si>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</si>
  <si>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</si>
  <si>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</si>
  <si>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</si>
  <si>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</si>
  <si>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</si>
  <si>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</si>
  <si>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</si>
  <si>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</si>
  <si>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</si>
  <si>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</si>
  <si>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</si>
  <si>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</si>
  <si>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</si>
  <si>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</si>
  <si>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</si>
  <si>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</si>
  <si>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</si>
  <si>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</si>
  <si>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</si>
  <si>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</si>
  <si>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</si>
  <si>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</si>
  <si>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</si>
  <si>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</si>
  <si>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</si>
  <si>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</si>
  <si>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</si>
  <si>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</si>
  <si>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</si>
  <si>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</si>
  <si>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</si>
  <si>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</si>
  <si>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</si>
  <si>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</si>
  <si>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</si>
  <si>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</si>
  <si>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</si>
  <si>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</si>
  <si>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</si>
  <si>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</si>
  <si>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</si>
  <si>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</si>
  <si>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</si>
  <si>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</si>
  <si>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</si>
  <si>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</si>
  <si>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</si>
  <si>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</si>
  <si>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</si>
  <si>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</si>
  <si>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</si>
  <si>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</si>
  <si>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</si>
  <si>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</si>
  <si>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</si>
  <si>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</si>
  <si>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</si>
  <si>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</si>
  <si>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</si>
  <si>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</si>
  <si>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</si>
  <si>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</si>
  <si>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</si>
  <si>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</si>
  <si>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</si>
  <si>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</si>
  <si>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</si>
  <si>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</si>
  <si>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</si>
  <si>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</si>
  <si>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</si>
  <si>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</si>
  <si>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</si>
  <si>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</si>
  <si>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</si>
  <si>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</si>
  <si>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</si>
  <si>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</si>
  <si>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</si>
  <si>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</si>
  <si>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</si>
  <si>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</si>
  <si>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</si>
  <si>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</si>
  <si>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</si>
  <si>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</si>
  <si>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</si>
  <si>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</si>
  <si>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</si>
  <si>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</si>
  <si>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</si>
  <si>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</si>
  <si>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</si>
  <si>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</si>
  <si>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</si>
  <si>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</si>
  <si>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</si>
  <si>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</si>
  <si>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</si>
  <si>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</si>
  <si>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</si>
  <si>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</si>
  <si>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</si>
  <si>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</si>
  <si>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</si>
  <si>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</si>
  <si>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</si>
  <si>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</si>
  <si>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</si>
  <si>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</si>
  <si>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</si>
  <si>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</si>
  <si>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</si>
  <si>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</si>
  <si>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</si>
  <si>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</si>
  <si>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</si>
  <si>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</si>
  <si>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</si>
  <si>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</si>
  <si>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</si>
  <si>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</si>
  <si>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</si>
  <si>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</si>
  <si>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</si>
  <si>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</si>
  <si>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</si>
  <si>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</si>
  <si>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</si>
  <si>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</si>
  <si>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</si>
  <si>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</si>
  <si>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</si>
  <si>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</si>
  <si>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</si>
  <si>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</si>
  <si>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</si>
  <si>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</si>
  <si>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</si>
  <si>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</si>
  <si>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</si>
  <si>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</si>
  <si>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</si>
  <si>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</si>
  <si>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</si>
  <si>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</si>
  <si>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</si>
  <si>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</si>
  <si>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</si>
  <si>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</si>
  <si>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</si>
  <si>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</si>
  <si>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</si>
  <si>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</si>
  <si>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</si>
  <si>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</si>
  <si>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</si>
  <si>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</si>
  <si>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</si>
  <si>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</si>
  <si>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</si>
  <si>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</si>
  <si>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</si>
  <si>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</si>
  <si>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</si>
  <si>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</si>
  <si>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</si>
  <si>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</si>
  <si>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</si>
  <si>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</si>
  <si>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</si>
  <si>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</si>
  <si>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</si>
  <si>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</si>
  <si>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</si>
  <si>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</si>
  <si>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</si>
  <si>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</si>
  <si>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</si>
  <si>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</si>
  <si>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</si>
  <si>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</si>
  <si>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</si>
  <si>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</si>
  <si>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</si>
  <si>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</si>
  <si>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</si>
  <si>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</si>
  <si>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</si>
  <si>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</si>
  <si>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</si>
  <si>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</si>
  <si>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</si>
  <si>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</si>
  <si>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</si>
  <si>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</si>
  <si>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</si>
  <si>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</si>
  <si>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</si>
  <si>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</si>
  <si>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</si>
  <si>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</si>
  <si>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</si>
  <si>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</si>
  <si>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</si>
  <si>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</si>
  <si>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</si>
  <si>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</si>
  <si>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</si>
  <si>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</si>
  <si>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</si>
  <si>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</si>
  <si>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</si>
  <si>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</si>
  <si>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</si>
  <si>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</si>
  <si>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</si>
  <si>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</si>
  <si>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</si>
  <si>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</si>
  <si>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</si>
  <si>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</si>
  <si>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</si>
  <si>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</si>
  <si>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</si>
  <si>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</si>
  <si>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</si>
  <si>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</si>
  <si>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</si>
  <si>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</si>
  <si>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</si>
  <si>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</si>
  <si>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</si>
  <si>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</si>
  <si>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</si>
  <si>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</si>
  <si>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</si>
  <si>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</si>
  <si>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</si>
  <si>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</si>
  <si>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</si>
  <si>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</si>
  <si>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</si>
  <si>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</si>
  <si>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</si>
  <si>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</si>
  <si>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</si>
  <si>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</si>
  <si>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</si>
  <si>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</si>
  <si>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</si>
  <si>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</si>
  <si>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</si>
  <si>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</si>
  <si>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</si>
  <si>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</si>
  <si>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</si>
  <si>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</si>
  <si>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</si>
  <si>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</si>
  <si>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</si>
  <si>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</si>
  <si>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</si>
  <si>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</si>
  <si>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</si>
  <si>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</si>
  <si>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</si>
  <si>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</si>
  <si>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</si>
  <si>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</si>
  <si>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</si>
  <si>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</si>
  <si>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</si>
  <si>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</si>
  <si>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</si>
  <si>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</si>
  <si>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</si>
  <si>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</si>
  <si>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</si>
  <si>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</si>
  <si>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</si>
  <si>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</si>
  <si>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</si>
  <si>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</si>
  <si>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</si>
  <si>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</si>
  <si>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</si>
  <si>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</si>
  <si>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</si>
  <si>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</si>
  <si>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</si>
  <si>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</si>
  <si>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</si>
  <si>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</si>
  <si>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</si>
  <si>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</si>
  <si>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</si>
  <si>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</si>
  <si>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</si>
  <si>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</si>
  <si>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</si>
  <si>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</si>
  <si>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</si>
  <si>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</si>
  <si>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</si>
  <si>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</si>
  <si>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</si>
  <si>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</si>
  <si>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</si>
  <si>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</si>
  <si>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</si>
  <si>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</si>
  <si>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</si>
  <si>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</si>
  <si>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</si>
  <si>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</si>
  <si>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</si>
  <si>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</si>
  <si>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</si>
  <si>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</si>
  <si>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</si>
  <si>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</si>
  <si>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</si>
  <si>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</si>
  <si>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</si>
  <si>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</si>
  <si>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</si>
  <si>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</si>
  <si>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</si>
  <si>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</si>
  <si>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</si>
  <si>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</si>
  <si>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</si>
  <si>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</si>
  <si>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</si>
  <si>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</si>
  <si>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</si>
  <si>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</si>
  <si>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</si>
  <si>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</si>
  <si>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</si>
  <si>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</si>
  <si>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</si>
  <si>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</si>
  <si>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</si>
  <si>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</si>
  <si>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</si>
  <si>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</si>
  <si>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</si>
  <si>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</si>
  <si>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</si>
  <si>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</si>
  <si>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</si>
  <si>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</si>
  <si>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</si>
  <si>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</si>
  <si>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</si>
  <si>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</si>
  <si>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</si>
  <si>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</si>
  <si>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</si>
  <si>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</si>
  <si>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</si>
  <si>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</si>
  <si>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</si>
  <si>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</si>
  <si>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</si>
  <si>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</si>
  <si>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</si>
  <si>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</si>
  <si>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</si>
  <si>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</si>
  <si>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</si>
  <si>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</si>
  <si>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</si>
  <si>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</si>
  <si>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</si>
  <si>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</si>
  <si>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</si>
  <si>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</si>
  <si>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</si>
  <si>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</si>
  <si>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</si>
  <si>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</si>
  <si>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</si>
  <si>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</si>
  <si>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</si>
  <si>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</si>
  <si>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</si>
  <si>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</si>
  <si>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</si>
  <si>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</si>
  <si>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</si>
  <si>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</si>
  <si>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</si>
  <si>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</si>
  <si>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</si>
  <si>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</si>
  <si>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</si>
  <si>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</si>
  <si>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</si>
  <si>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</si>
  <si>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</si>
  <si>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</si>
  <si>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</si>
  <si>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</si>
  <si>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</si>
  <si>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</si>
  <si>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</si>
  <si>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</si>
  <si>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</si>
  <si>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</si>
  <si>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</si>
  <si>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</si>
  <si>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</si>
  <si>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</si>
  <si>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</si>
  <si>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</si>
  <si>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</si>
  <si>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</si>
  <si>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</si>
  <si>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</si>
  <si>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</si>
  <si>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</si>
  <si>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</si>
  <si>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</si>
  <si>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</si>
  <si>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</si>
  <si>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</si>
  <si>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</si>
  <si>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</si>
  <si>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</si>
  <si>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</si>
  <si>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</si>
  <si>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</si>
  <si>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</si>
  <si>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</si>
  <si>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</si>
  <si>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</si>
  <si>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</si>
  <si>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</si>
  <si>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</si>
  <si>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</si>
  <si>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</si>
  <si>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</si>
  <si>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</si>
  <si>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</si>
  <si>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</si>
  <si>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</si>
  <si>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</si>
  <si>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</si>
  <si>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</si>
  <si>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</si>
  <si>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</si>
  <si>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</si>
  <si>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</si>
  <si>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</si>
  <si>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</si>
  <si>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</si>
  <si>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</si>
  <si>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</si>
  <si>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</si>
  <si>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</si>
  <si>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</si>
  <si>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</si>
  <si>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</si>
  <si>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</si>
  <si>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</si>
  <si>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</si>
  <si>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</si>
  <si>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</si>
  <si>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</si>
  <si>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</si>
  <si>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</si>
  <si>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</si>
  <si>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</si>
  <si>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</si>
  <si>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</si>
  <si>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</si>
  <si>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</si>
  <si>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</si>
  <si>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</si>
  <si>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</si>
  <si>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</si>
  <si>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</si>
  <si>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</si>
  <si>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</si>
  <si>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</si>
  <si>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</si>
  <si>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</si>
  <si>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</si>
  <si>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</si>
  <si>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</si>
  <si>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</si>
  <si>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</si>
  <si>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</si>
  <si>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</si>
  <si>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</si>
  <si>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</si>
  <si>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</si>
  <si>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</si>
  <si>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</si>
  <si>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</si>
  <si>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</si>
  <si>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</si>
  <si>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</si>
  <si>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</si>
  <si>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</si>
  <si>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</si>
  <si>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</si>
  <si>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</si>
  <si>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</si>
  <si>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</si>
  <si>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</si>
  <si>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</si>
  <si>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</si>
  <si>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</si>
  <si>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</si>
  <si>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</si>
  <si>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</si>
  <si>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</si>
  <si>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</si>
  <si>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</si>
  <si>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</si>
  <si>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</si>
  <si>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</si>
  <si>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</si>
  <si>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</si>
  <si>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</si>
  <si>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</si>
  <si>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</si>
  <si>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</si>
  <si>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</si>
  <si>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</si>
  <si>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</si>
  <si>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</si>
  <si>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</si>
  <si>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</si>
  <si>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</si>
  <si>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</si>
  <si>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</si>
  <si>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</si>
  <si>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</si>
  <si>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</si>
  <si>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</si>
  <si>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</si>
  <si>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</si>
  <si>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</si>
  <si>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</si>
  <si>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</si>
  <si>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</si>
  <si>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</si>
  <si>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</si>
  <si>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</si>
  <si>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</si>
  <si>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</si>
  <si>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</si>
  <si>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</si>
  <si>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</si>
  <si>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</si>
  <si>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</si>
  <si>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</si>
  <si>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</si>
  <si>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</si>
  <si>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</si>
  <si>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</si>
  <si>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</si>
  <si>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</si>
  <si>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</si>
  <si>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</si>
  <si>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</si>
  <si>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</si>
  <si>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</si>
  <si>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</si>
  <si>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</si>
  <si>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</si>
  <si>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</si>
  <si>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</si>
  <si>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</si>
  <si>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</si>
  <si>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</si>
  <si>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</si>
  <si>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</si>
  <si>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</si>
  <si>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</si>
  <si>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</si>
  <si>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</si>
  <si>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</si>
  <si>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</si>
  <si>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</si>
  <si>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</si>
  <si>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</si>
  <si>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</si>
  <si>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</si>
  <si>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</si>
  <si>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</si>
  <si>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</si>
  <si>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</si>
  <si>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</si>
  <si>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</si>
  <si>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</si>
  <si>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</si>
  <si>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</si>
  <si>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</si>
  <si>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</si>
  <si>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</si>
  <si>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</si>
  <si>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</si>
  <si>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</si>
  <si>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</si>
  <si>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</si>
  <si>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</si>
  <si>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</si>
  <si>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</si>
  <si>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</si>
  <si>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</si>
  <si>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</si>
  <si>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</si>
  <si>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</si>
  <si>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</si>
  <si>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</si>
  <si>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</si>
  <si>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</si>
  <si>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</si>
  <si>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</si>
  <si>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</si>
  <si>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</si>
  <si>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</si>
  <si>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</si>
  <si>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</si>
  <si>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</si>
  <si>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</si>
  <si>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</si>
  <si>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</si>
  <si>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</si>
  <si>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</si>
  <si>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</si>
  <si>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</si>
  <si>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</si>
  <si>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</si>
  <si>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</si>
  <si>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</si>
  <si>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</si>
  <si>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</si>
  <si>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</si>
  <si>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</si>
  <si>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</si>
  <si>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</si>
  <si>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</si>
  <si>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</si>
  <si>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</si>
  <si>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</si>
  <si>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</si>
  <si>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</si>
  <si>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</si>
  <si>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</si>
  <si>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</si>
  <si>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</si>
  <si>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</si>
  <si>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</si>
  <si>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</si>
  <si>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</si>
  <si>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</si>
  <si>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</si>
  <si>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</si>
  <si>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</si>
  <si>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</si>
  <si>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</si>
  <si>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</si>
  <si>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</si>
  <si>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</si>
  <si>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</si>
  <si>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</si>
  <si>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</si>
  <si>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</si>
  <si>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</si>
  <si>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</si>
  <si>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</si>
  <si>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</si>
  <si>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</si>
  <si>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</si>
  <si>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</si>
  <si>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</si>
  <si>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</si>
  <si>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</si>
  <si>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</si>
  <si>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</si>
  <si>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</si>
  <si>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</si>
  <si>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</si>
  <si>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</si>
  <si>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</si>
  <si>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</si>
  <si>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</si>
  <si>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</si>
  <si>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</si>
  <si>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</si>
  <si>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</si>
  <si>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</si>
  <si>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</si>
  <si>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</si>
  <si>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</si>
  <si>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</si>
  <si>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</si>
  <si>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</si>
  <si>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</si>
  <si>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</si>
  <si>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</si>
  <si>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</si>
  <si>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</si>
  <si>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</si>
  <si>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</si>
  <si>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</si>
  <si>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</si>
  <si>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</si>
  <si>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</si>
  <si>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</si>
  <si>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</si>
  <si>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</si>
  <si>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</si>
  <si>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</si>
  <si>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</si>
  <si>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</si>
  <si>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</si>
  <si>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</si>
  <si>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</si>
  <si>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</si>
  <si>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</si>
  <si>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</si>
  <si>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</si>
  <si>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</si>
  <si>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</si>
  <si>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</si>
  <si>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</si>
  <si>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</si>
  <si>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</si>
  <si>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</si>
  <si>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</si>
  <si>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</si>
  <si>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</si>
  <si>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</si>
  <si>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</si>
  <si>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</si>
  <si>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</si>
  <si>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</si>
  <si>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</si>
  <si>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</si>
  <si>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</si>
  <si>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</si>
  <si>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</si>
  <si>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</si>
  <si>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</si>
  <si>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</si>
  <si>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</si>
  <si>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</si>
  <si>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</si>
  <si>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</si>
  <si>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</si>
  <si>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</si>
  <si>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</si>
  <si>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</si>
  <si>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</si>
  <si>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</si>
  <si>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</si>
  <si>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</si>
  <si>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</si>
  <si>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</si>
  <si>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</si>
  <si>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</si>
  <si>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</si>
  <si>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</si>
  <si>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</si>
  <si>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</si>
  <si>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</si>
  <si>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</si>
  <si>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</si>
  <si>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</si>
  <si>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</si>
  <si>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</si>
  <si>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</si>
  <si>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</si>
  <si>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</si>
  <si>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</si>
  <si>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</si>
  <si>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</si>
  <si>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</si>
  <si>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</si>
  <si>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</si>
  <si>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</si>
  <si>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</si>
  <si>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</si>
  <si>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</si>
  <si>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</si>
  <si>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</si>
  <si>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</si>
  <si>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</si>
  <si>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</si>
  <si>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</si>
  <si>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</si>
  <si>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</si>
  <si>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</si>
  <si>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</si>
  <si>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</si>
  <si>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</si>
  <si>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</si>
  <si>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</si>
  <si>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</si>
  <si>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</si>
  <si>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</si>
  <si>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</si>
  <si>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</si>
  <si>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</si>
  <si>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</si>
  <si>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</si>
  <si>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</si>
  <si>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</si>
  <si>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</si>
  <si>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</si>
  <si>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</si>
  <si>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</si>
  <si>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</si>
  <si>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</si>
  <si>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</si>
  <si>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</si>
  <si>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</si>
  <si>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</si>
  <si>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</si>
  <si>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</si>
  <si>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</si>
  <si>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</si>
  <si>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</si>
  <si>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</si>
  <si>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</si>
  <si>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</si>
  <si>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</si>
  <si>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</si>
  <si>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</si>
  <si>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</si>
  <si>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</si>
  <si>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</si>
  <si>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</si>
  <si>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</si>
  <si>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</si>
  <si>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</si>
  <si>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</si>
  <si>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</si>
  <si>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</si>
  <si>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</si>
  <si>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</si>
  <si>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</si>
  <si>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</si>
  <si>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</si>
  <si>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</si>
  <si>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</si>
  <si>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</si>
  <si>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</si>
  <si>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</si>
  <si>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</si>
  <si>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</si>
  <si>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</si>
  <si>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</si>
  <si>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</si>
  <si>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</si>
  <si>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</si>
  <si>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</si>
  <si>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</si>
  <si>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</si>
  <si>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</si>
  <si>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</si>
  <si>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</si>
  <si>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</si>
  <si>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</si>
  <si>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</si>
  <si>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</si>
  <si>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</si>
  <si>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</si>
  <si>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</si>
  <si>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</si>
  <si>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</si>
  <si>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</si>
  <si>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</si>
  <si>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</si>
  <si>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</si>
  <si>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</si>
  <si>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</si>
  <si>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</si>
  <si>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</si>
  <si>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</si>
  <si>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</si>
  <si>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</si>
  <si>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</si>
  <si>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</si>
  <si>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</si>
  <si>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</si>
  <si>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</si>
  <si>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</si>
  <si>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</si>
  <si>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</si>
  <si>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</si>
  <si>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</si>
  <si>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</si>
  <si>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</si>
  <si>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</si>
  <si>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</si>
  <si>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</si>
  <si>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</si>
  <si>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</si>
  <si>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</si>
  <si>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</si>
  <si>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</si>
  <si>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</si>
  <si>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</si>
  <si>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</si>
  <si>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</si>
  <si>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</si>
  <si>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</si>
  <si>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</si>
  <si>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</si>
  <si>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</si>
  <si>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</si>
  <si>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</si>
  <si>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</si>
  <si>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</si>
  <si>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</si>
  <si>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</si>
  <si>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</si>
  <si>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</si>
  <si>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</si>
  <si>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</si>
  <si>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</si>
  <si>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</si>
  <si>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</si>
  <si>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</si>
  <si>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</si>
  <si>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</si>
  <si>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</si>
  <si>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</si>
  <si>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</si>
  <si>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</si>
  <si>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</si>
  <si>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</si>
  <si>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</si>
  <si>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</si>
  <si>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</si>
  <si>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</si>
  <si>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</si>
  <si>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</si>
  <si>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</si>
  <si>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</si>
  <si>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</si>
  <si>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</si>
  <si>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</si>
  <si>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</si>
  <si>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</si>
  <si>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</si>
  <si>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</si>
  <si>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</si>
  <si>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</si>
  <si>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</si>
  <si>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</si>
  <si>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</si>
  <si>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</si>
  <si>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</si>
  <si>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</si>
  <si>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</si>
  <si>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</si>
  <si>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</si>
  <si>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</si>
  <si>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</si>
  <si>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</si>
  <si>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</si>
  <si>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</si>
  <si>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</si>
  <si>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</si>
  <si>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</si>
  <si>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</si>
  <si>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</si>
  <si>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</si>
  <si>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</si>
  <si>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</si>
  <si>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</si>
  <si>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</si>
  <si>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</si>
  <si>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</si>
  <si>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</si>
  <si>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</si>
  <si>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</si>
  <si>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</si>
  <si>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</si>
  <si>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</si>
  <si>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</si>
  <si>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</si>
  <si>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</si>
  <si>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</si>
  <si>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</si>
  <si>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</si>
  <si>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</si>
  <si>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</si>
  <si>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</si>
  <si>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</si>
  <si>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</si>
  <si>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</si>
  <si>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</si>
  <si>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</si>
  <si>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</si>
  <si>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</si>
  <si>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</si>
  <si>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</si>
  <si>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</si>
  <si>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</si>
  <si>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</si>
  <si>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</si>
  <si>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</si>
  <si>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</si>
  <si>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</si>
  <si>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</si>
  <si>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</si>
  <si>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</si>
  <si>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</si>
  <si>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</si>
  <si>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</si>
  <si>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</si>
  <si>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</si>
  <si>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</si>
  <si>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</si>
  <si>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</si>
  <si>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</si>
  <si>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</si>
  <si>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</si>
  <si>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</si>
  <si>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</si>
  <si>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</si>
  <si>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</si>
  <si>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</si>
  <si>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</si>
  <si>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</si>
  <si>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</si>
  <si>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</si>
  <si>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</si>
  <si>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</si>
  <si>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</si>
  <si>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</si>
  <si>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</si>
  <si>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</si>
  <si>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</si>
  <si>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</si>
  <si>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</si>
  <si>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</si>
  <si>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</si>
  <si>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</si>
  <si>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</si>
  <si>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</si>
  <si>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</si>
  <si>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</si>
  <si>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</si>
  <si>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</si>
  <si>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</si>
  <si>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</si>
  <si>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</si>
  <si>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</si>
  <si>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</si>
  <si>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</si>
  <si>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</si>
  <si>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</si>
  <si>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</si>
  <si>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</si>
  <si>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</si>
  <si>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</si>
  <si>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</si>
  <si>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</si>
  <si>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</si>
  <si>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</si>
  <si>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</si>
  <si>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</si>
  <si>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</si>
  <si>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</si>
  <si>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</si>
  <si>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</si>
  <si>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</si>
  <si>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</si>
  <si>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</si>
  <si>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</si>
  <si>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</si>
  <si>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</si>
  <si>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</si>
  <si>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</si>
  <si>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</si>
  <si>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</si>
  <si>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</si>
  <si>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</si>
  <si>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</si>
  <si>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</si>
  <si>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</si>
  <si>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</si>
  <si>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</si>
  <si>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</si>
  <si>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</si>
  <si>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</si>
  <si>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</si>
  <si>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</si>
  <si>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</si>
  <si>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</si>
  <si>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</si>
  <si>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</si>
  <si>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</si>
  <si>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</si>
  <si>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</si>
  <si>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</si>
  <si>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</si>
  <si>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</si>
  <si>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</si>
  <si>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</si>
  <si>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</si>
  <si>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</si>
  <si>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</si>
  <si>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</si>
  <si>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</si>
  <si>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</si>
  <si>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</si>
  <si>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</si>
  <si>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</si>
  <si>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</si>
  <si>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</si>
  <si>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</si>
  <si>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</si>
  <si>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</si>
  <si>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</si>
  <si>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</si>
  <si>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</si>
  <si>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</si>
  <si>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</si>
  <si>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</si>
  <si>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</si>
  <si>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</si>
  <si>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</si>
  <si>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</si>
  <si>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</si>
  <si>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</si>
  <si>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</si>
  <si>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</si>
  <si>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</si>
  <si>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</si>
  <si>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</si>
  <si>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</si>
  <si>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</si>
  <si>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</si>
  <si>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</si>
  <si>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</si>
  <si>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</si>
  <si>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</si>
  <si>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</si>
  <si>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</si>
  <si>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</si>
  <si>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</si>
  <si>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</si>
  <si>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</si>
  <si>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</si>
  <si>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</si>
  <si>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</si>
  <si>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</si>
  <si>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</si>
  <si>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</si>
  <si>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</si>
  <si>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</si>
  <si>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</si>
  <si>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</si>
  <si>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</si>
  <si>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</si>
  <si>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</si>
  <si>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</si>
  <si>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</si>
  <si>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</si>
  <si>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</si>
  <si>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</si>
  <si>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</si>
  <si>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</si>
  <si>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</si>
  <si>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</si>
  <si>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</si>
  <si>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</si>
  <si>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</si>
  <si>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</si>
  <si>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</si>
  <si>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</si>
  <si>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</si>
  <si>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</si>
  <si>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</si>
  <si>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</si>
  <si>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</si>
  <si>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</si>
  <si>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</si>
  <si>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</si>
  <si>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</si>
  <si>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</si>
  <si>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</si>
  <si>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</si>
  <si>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</si>
  <si>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</si>
  <si>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</si>
  <si>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</si>
  <si>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</si>
  <si>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</si>
  <si>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</si>
  <si>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</si>
  <si>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</si>
  <si>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</si>
  <si>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</si>
  <si>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</si>
  <si>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</si>
  <si>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</si>
  <si>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</si>
  <si>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</si>
  <si>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</si>
  <si>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</si>
  <si>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</si>
  <si>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</si>
  <si>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</si>
  <si>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</si>
  <si>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</si>
  <si>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</si>
  <si>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</si>
  <si>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</si>
  <si>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</si>
  <si>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</si>
  <si>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</si>
  <si>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</si>
  <si>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</si>
  <si>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</si>
  <si>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</si>
  <si>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</si>
  <si>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</si>
  <si>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</si>
  <si>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</si>
  <si>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</si>
  <si>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</si>
  <si>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</si>
  <si>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</si>
  <si>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</si>
  <si>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</si>
  <si>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</si>
  <si>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</si>
  <si>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</si>
  <si>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</si>
  <si>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</si>
  <si>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</si>
  <si>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</si>
  <si>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</si>
  <si>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</si>
  <si>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</si>
  <si>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</si>
  <si>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</si>
  <si>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</si>
  <si>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</si>
  <si>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</si>
  <si>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</si>
  <si>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</si>
  <si>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</si>
  <si>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</si>
  <si>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</si>
  <si>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</si>
  <si>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</si>
  <si>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</si>
  <si>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</si>
  <si>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</si>
  <si>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</si>
  <si>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</si>
  <si>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</si>
  <si>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</si>
  <si>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</si>
  <si>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</si>
  <si>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</si>
  <si>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</si>
  <si>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</si>
  <si>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</si>
  <si>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</si>
  <si>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</si>
  <si>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</si>
  <si>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</si>
  <si>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</si>
  <si>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</si>
  <si>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</si>
  <si>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</si>
  <si>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</si>
  <si>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</si>
  <si>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</si>
  <si>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</si>
  <si>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</si>
  <si>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</si>
  <si>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</si>
  <si>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</si>
  <si>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</si>
  <si>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</si>
  <si>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</si>
  <si>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</si>
  <si>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</si>
  <si>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</si>
  <si>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</si>
  <si>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</si>
  <si>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</si>
  <si>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</si>
  <si>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</si>
  <si>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</si>
  <si>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</si>
  <si>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</si>
  <si>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</si>
  <si>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</si>
  <si>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</si>
  <si>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</si>
  <si>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</si>
  <si>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</si>
  <si>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</si>
  <si>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</si>
  <si>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</si>
  <si>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</si>
  <si>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</si>
  <si>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</si>
  <si>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</si>
  <si>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</si>
  <si>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</si>
  <si>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</si>
  <si>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</si>
  <si>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</si>
  <si>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</si>
  <si>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</si>
  <si>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</si>
  <si>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</si>
  <si>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</si>
  <si>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</si>
  <si>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</si>
  <si>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</si>
  <si>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</si>
  <si>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</si>
  <si>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</si>
  <si>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</si>
  <si>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</si>
  <si>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</si>
  <si>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</si>
  <si>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</si>
  <si>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</si>
  <si>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</si>
  <si>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</si>
  <si>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</si>
  <si>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</si>
  <si>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</si>
  <si>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</si>
  <si>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</si>
  <si>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</si>
  <si>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</si>
  <si>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</si>
  <si>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</si>
  <si>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</si>
  <si>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</si>
  <si>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</si>
  <si>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</si>
  <si>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</si>
  <si>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</si>
  <si>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</si>
  <si>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</si>
  <si>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</si>
  <si>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</si>
  <si>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</si>
  <si>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</si>
  <si>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</si>
  <si>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</si>
  <si>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</si>
  <si>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</si>
  <si>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</si>
  <si>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</si>
  <si>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</si>
  <si>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</si>
  <si>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</si>
  <si>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</si>
  <si>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</si>
  <si>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</si>
  <si>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</si>
  <si>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</si>
  <si>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</si>
  <si>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</si>
  <si>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</si>
  <si>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</si>
  <si>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</si>
  <si>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</si>
  <si>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</si>
  <si>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</si>
  <si>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</si>
  <si>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</si>
  <si>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</si>
  <si>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</si>
  <si>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</si>
  <si>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</si>
  <si>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</si>
  <si>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</si>
  <si>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</si>
  <si>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</si>
  <si>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</si>
  <si>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</si>
  <si>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</si>
  <si>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</si>
  <si>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</si>
  <si>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</si>
  <si>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</si>
  <si>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</si>
  <si>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</si>
  <si>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</si>
  <si>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</si>
  <si>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</si>
  <si>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</si>
  <si>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</si>
  <si>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</si>
  <si>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</si>
  <si>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</si>
  <si>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</si>
  <si>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</si>
  <si>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</si>
  <si>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</si>
  <si>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</si>
  <si>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</si>
  <si>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</si>
  <si>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</si>
  <si>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</si>
  <si>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</si>
  <si>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</si>
  <si>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</si>
  <si>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</si>
  <si>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</si>
  <si>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</si>
  <si>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</si>
  <si>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</si>
  <si>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</si>
  <si>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</si>
  <si>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</si>
  <si>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</si>
  <si>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</si>
  <si>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</si>
  <si>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</si>
  <si>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</si>
  <si>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</si>
  <si>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</si>
  <si>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</si>
  <si>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</si>
  <si>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</si>
  <si>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</si>
  <si>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</si>
  <si>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</si>
  <si>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</si>
  <si>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</si>
  <si>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</si>
  <si>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</si>
  <si>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</si>
  <si>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</si>
  <si>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</si>
  <si>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</si>
  <si>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</si>
  <si>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</si>
  <si>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</si>
  <si>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</si>
  <si>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</si>
  <si>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</si>
  <si>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</si>
  <si>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</si>
  <si>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</si>
  <si>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</si>
  <si>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</si>
  <si>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</si>
  <si>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</si>
  <si>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</si>
  <si>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</si>
  <si>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</si>
  <si>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</si>
  <si>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</si>
  <si>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</si>
  <si>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</si>
  <si>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</si>
  <si>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</si>
  <si>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</si>
  <si>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</si>
  <si>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</si>
  <si>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</si>
  <si>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</si>
  <si>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</si>
  <si>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</si>
  <si>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</si>
  <si>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</si>
  <si>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</si>
  <si>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</si>
  <si>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</si>
  <si>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</si>
  <si>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</si>
  <si>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</si>
  <si>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</si>
  <si>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</si>
  <si>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</si>
  <si>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</si>
  <si>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</si>
  <si>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</si>
  <si>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</si>
  <si>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</si>
  <si>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</si>
  <si>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</si>
  <si>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</si>
  <si>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</si>
  <si>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</si>
  <si>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</si>
  <si>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</si>
  <si>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</si>
  <si>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</si>
  <si>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</si>
  <si>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</si>
  <si>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</si>
  <si>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</si>
  <si>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</si>
  <si>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</si>
  <si>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</si>
  <si>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</si>
  <si>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</si>
  <si>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</si>
  <si>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</si>
  <si>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</si>
  <si>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</si>
  <si>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</si>
  <si>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</si>
  <si>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</si>
  <si>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</si>
  <si>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</si>
  <si>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</si>
  <si>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</si>
  <si>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</si>
  <si>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</si>
  <si>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</si>
  <si>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</si>
  <si>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</si>
  <si>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</si>
  <si>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</si>
  <si>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</si>
  <si>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</si>
  <si>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</si>
  <si>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</si>
  <si>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</si>
  <si>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</si>
  <si>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</si>
  <si>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</si>
  <si>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</si>
  <si>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</si>
  <si>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</si>
  <si>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</si>
  <si>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</si>
  <si>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</si>
  <si>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</si>
  <si>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</si>
  <si>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</si>
  <si>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</si>
  <si>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</si>
  <si>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</si>
  <si>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</si>
  <si>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</si>
  <si>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</si>
  <si>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</si>
  <si>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</si>
  <si>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</si>
  <si>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</si>
  <si>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</si>
  <si>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</si>
  <si>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</si>
  <si>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</si>
  <si>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</si>
  <si>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</si>
  <si>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</si>
  <si>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</si>
  <si>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</si>
  <si>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</si>
  <si>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</si>
  <si>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</si>
  <si>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</si>
  <si>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</si>
  <si>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</si>
  <si>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</si>
  <si>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</si>
  <si>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</si>
  <si>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</si>
  <si>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</si>
  <si>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</si>
  <si>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</si>
  <si>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</si>
  <si>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</si>
  <si>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</si>
  <si>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</si>
  <si>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</si>
  <si>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</si>
  <si>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</si>
  <si>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</si>
  <si>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</si>
  <si>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</si>
  <si>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</si>
  <si>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</si>
  <si>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</si>
  <si>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</si>
  <si>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</si>
  <si>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</si>
  <si>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</si>
  <si>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</si>
  <si>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</si>
  <si>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</si>
  <si>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</si>
  <si>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</si>
  <si>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</si>
  <si>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</si>
  <si>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</si>
  <si>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</si>
  <si>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</si>
  <si>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</si>
  <si>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</si>
  <si>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</si>
  <si>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</si>
  <si>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</si>
  <si>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</si>
  <si>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</si>
  <si>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</si>
  <si>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</si>
  <si>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</si>
  <si>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</si>
  <si>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</si>
  <si>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</si>
  <si>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</si>
  <si>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</si>
  <si>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</si>
  <si>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</si>
  <si>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</si>
  <si>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</si>
  <si>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</si>
  <si>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</si>
  <si>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</si>
  <si>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</si>
  <si>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</si>
  <si>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</si>
  <si>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</si>
  <si>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</si>
  <si>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</si>
  <si>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</si>
  <si>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</si>
  <si>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</si>
  <si>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</si>
  <si>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</si>
  <si>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</si>
  <si>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</si>
  <si>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</si>
  <si>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</si>
  <si>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</si>
  <si>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</si>
  <si>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</si>
  <si>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</si>
  <si>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</si>
  <si>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</si>
  <si>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</si>
  <si>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</si>
  <si>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</si>
  <si>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</si>
  <si>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</si>
  <si>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</si>
  <si>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</si>
  <si>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</si>
  <si>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</si>
  <si>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</si>
  <si>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</si>
  <si>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</si>
  <si>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</si>
  <si>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</si>
  <si>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</si>
  <si>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</si>
  <si>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</si>
  <si>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</si>
  <si>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</si>
  <si>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</si>
  <si>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</si>
  <si>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</si>
  <si>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</si>
  <si>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</si>
  <si>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</si>
  <si>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</si>
  <si>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</si>
  <si>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</si>
  <si>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</si>
  <si>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</si>
  <si>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</si>
  <si>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</si>
  <si>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</si>
  <si>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</si>
  <si>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</si>
  <si>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</si>
  <si>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</si>
  <si>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</si>
  <si>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</si>
  <si>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</si>
  <si>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</si>
  <si>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</si>
  <si>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</si>
  <si>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</si>
  <si>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</si>
  <si>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</si>
  <si>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</si>
  <si>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</si>
  <si>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</si>
  <si>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</si>
  <si>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</si>
  <si>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</si>
  <si>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</si>
  <si>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</si>
  <si>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</si>
  <si>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</si>
  <si>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</si>
  <si>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</si>
  <si>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</si>
  <si>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</si>
  <si>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</si>
  <si>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</si>
  <si>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</si>
  <si>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</si>
  <si>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</si>
  <si>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</si>
  <si>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</si>
  <si>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</si>
  <si>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</si>
  <si>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</si>
  <si>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</si>
  <si>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</si>
  <si>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</si>
  <si>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</si>
  <si>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</si>
  <si>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</si>
  <si>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</si>
  <si>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</si>
  <si>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</si>
  <si>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</si>
  <si>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</si>
  <si>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</si>
  <si>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</si>
  <si>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</si>
  <si>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</si>
  <si>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</si>
  <si>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</si>
  <si>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</si>
  <si>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</si>
  <si>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</si>
  <si>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</si>
  <si>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</si>
  <si>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</si>
  <si>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</si>
  <si>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</si>
  <si>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</si>
  <si>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</si>
  <si>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</si>
  <si>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</si>
  <si>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</si>
  <si>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</si>
  <si>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</si>
  <si>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</si>
  <si>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</si>
  <si>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</si>
  <si>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</si>
  <si>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</si>
  <si>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</si>
  <si>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</si>
  <si>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</si>
  <si>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</si>
  <si>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</si>
  <si>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</si>
  <si>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</si>
  <si>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</si>
  <si>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</si>
  <si>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</si>
  <si>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</si>
  <si>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</si>
  <si>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</si>
  <si>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</si>
  <si>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</si>
  <si>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</si>
  <si>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</si>
  <si>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</si>
  <si>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</si>
  <si>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</si>
  <si>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</si>
  <si>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</si>
  <si>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</si>
  <si>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</si>
  <si>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</si>
  <si>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</si>
  <si>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</si>
  <si>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</si>
  <si>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</si>
  <si>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</si>
  <si>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</si>
  <si>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</si>
  <si>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</si>
  <si>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</si>
  <si>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</si>
  <si>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</si>
  <si>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</si>
  <si>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</si>
  <si>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</si>
  <si>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</si>
  <si>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</si>
  <si>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</si>
  <si>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</si>
  <si>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</si>
  <si>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</si>
  <si>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</si>
  <si>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</si>
  <si>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</si>
  <si>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</si>
  <si>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</si>
  <si>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</si>
  <si>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</si>
  <si>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</si>
  <si>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</si>
  <si>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</si>
  <si>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</si>
  <si>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</si>
  <si>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</si>
  <si>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</si>
  <si>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</si>
  <si>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</si>
  <si>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</si>
  <si>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</si>
  <si>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</si>
  <si>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</si>
  <si>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</si>
  <si>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</si>
  <si>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</si>
  <si>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</si>
  <si>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</si>
  <si>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</si>
  <si>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</si>
  <si>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</si>
  <si>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</si>
  <si>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</si>
  <si>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</si>
  <si>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</si>
  <si>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</si>
  <si>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</si>
  <si>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</si>
  <si>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</si>
  <si>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</si>
  <si>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</si>
  <si>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</si>
  <si>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</si>
  <si>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</si>
  <si>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</si>
  <si>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</si>
  <si>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</si>
  <si>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</si>
  <si>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</si>
  <si>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</si>
  <si>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</si>
  <si>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</si>
  <si>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</si>
  <si>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</si>
  <si>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</si>
  <si>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</si>
  <si>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</si>
  <si>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</si>
  <si>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</si>
  <si>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</si>
  <si>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</si>
  <si>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</si>
  <si>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</si>
  <si>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</si>
  <si>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</si>
  <si>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</si>
  <si>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</si>
  <si>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</si>
  <si>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</si>
  <si>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</si>
  <si>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</si>
  <si>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</si>
  <si>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</si>
  <si>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</si>
  <si>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</si>
  <si>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</si>
  <si>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</si>
  <si>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</si>
  <si>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</si>
  <si>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</si>
  <si>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</si>
  <si>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</si>
  <si>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</si>
  <si>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</si>
  <si>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</si>
  <si>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</si>
  <si>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</si>
  <si>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</si>
  <si>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</si>
  <si>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</si>
  <si>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</si>
  <si>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</si>
  <si>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</si>
  <si>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</si>
  <si>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</si>
  <si>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</si>
  <si>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</si>
  <si>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</si>
  <si>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</si>
  <si>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</si>
  <si>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</si>
  <si>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</si>
  <si>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</si>
  <si>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</si>
  <si>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</si>
  <si>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</si>
  <si>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</si>
  <si>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</si>
  <si>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</si>
  <si>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</si>
  <si>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</si>
  <si>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</si>
  <si>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</si>
  <si>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</si>
  <si>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</si>
  <si>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</si>
  <si>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</si>
  <si>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</si>
  <si>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</si>
  <si>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</si>
  <si>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</si>
  <si>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</si>
  <si>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</si>
  <si>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</si>
  <si>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</si>
  <si>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</si>
  <si>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</si>
  <si>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</si>
  <si>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</si>
  <si>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</si>
  <si>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</si>
  <si>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</si>
  <si>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</si>
  <si>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</si>
  <si>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</si>
  <si>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</si>
  <si>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</si>
  <si>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</si>
  <si>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</si>
  <si>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</si>
  <si>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</si>
  <si>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</si>
  <si>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</si>
  <si>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</si>
  <si>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</si>
  <si>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</si>
  <si>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</si>
  <si>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</si>
  <si>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</si>
  <si>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</si>
  <si>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</si>
  <si>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</si>
  <si>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</si>
  <si>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</si>
  <si>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</si>
  <si>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</si>
  <si>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</si>
  <si>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</si>
  <si>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</si>
  <si>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</si>
  <si>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</si>
  <si>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</si>
  <si>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</si>
  <si>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</si>
  <si>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</si>
  <si>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</si>
  <si>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</si>
  <si>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</si>
  <si>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</si>
  <si>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</si>
  <si>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</si>
  <si>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</si>
  <si>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</si>
  <si>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</si>
  <si>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</si>
  <si>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</si>
  <si>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</si>
  <si>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</si>
  <si>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</si>
  <si>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</si>
  <si>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</si>
  <si>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</si>
  <si>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</si>
  <si>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</si>
  <si>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</si>
  <si>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</si>
  <si>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</si>
  <si>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</si>
  <si>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</si>
  <si>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</si>
  <si>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</si>
  <si>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</si>
  <si>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</si>
  <si>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</si>
  <si>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</si>
  <si>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</si>
  <si>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</si>
  <si>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</si>
  <si>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</si>
  <si>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</si>
  <si>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</si>
  <si>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</si>
  <si>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</si>
  <si>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</si>
  <si>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</si>
  <si>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</si>
  <si>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</si>
  <si>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</si>
  <si>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</si>
  <si>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</si>
  <si>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</si>
  <si>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</si>
  <si>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</si>
  <si>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</si>
  <si>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</si>
  <si>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</si>
  <si>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</si>
  <si>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</si>
  <si>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</si>
  <si>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</si>
  <si>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</si>
  <si>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</si>
  <si>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</si>
  <si>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</si>
  <si>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</si>
  <si>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</si>
  <si>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</si>
  <si>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</si>
  <si>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</si>
  <si>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</si>
  <si>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</si>
  <si>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</si>
  <si>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</si>
  <si>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</si>
  <si>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</si>
  <si>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</si>
  <si>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</si>
  <si>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</si>
  <si>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</si>
  <si>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</si>
  <si>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</si>
  <si>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</si>
  <si>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</si>
  <si>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</si>
  <si>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</si>
  <si>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</si>
  <si>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</si>
  <si>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</si>
  <si>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</si>
  <si>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</si>
  <si>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</si>
  <si>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</si>
  <si>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</si>
  <si>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</si>
  <si>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</si>
  <si>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</si>
  <si>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</si>
  <si>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</si>
  <si>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</si>
  <si>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</si>
  <si>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</si>
  <si>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</si>
  <si>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</si>
  <si>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</si>
  <si>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</si>
  <si>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</si>
  <si>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</si>
  <si>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</si>
  <si>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</si>
  <si>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</si>
  <si>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</si>
  <si>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</si>
  <si>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</si>
  <si>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</si>
  <si>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</si>
  <si>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</si>
  <si>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</si>
  <si>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</si>
  <si>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</si>
  <si>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</si>
  <si>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</si>
  <si>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</si>
  <si>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</si>
  <si>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</si>
  <si>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</si>
  <si>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</si>
  <si>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</si>
  <si>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</si>
  <si>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</si>
  <si>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</si>
  <si>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</si>
  <si>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</si>
  <si>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</si>
  <si>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</si>
  <si>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</si>
  <si>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</si>
  <si>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</si>
  <si>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</si>
  <si>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</si>
  <si>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</si>
  <si>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</si>
  <si>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</si>
  <si>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</si>
  <si>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</si>
  <si>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</si>
  <si>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</si>
  <si>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</si>
  <si>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</si>
  <si>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</si>
  <si>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</si>
  <si>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</si>
  <si>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</si>
  <si>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</si>
  <si>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</si>
  <si>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</si>
  <si>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</si>
  <si>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</si>
  <si>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</si>
  <si>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</si>
  <si>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</si>
  <si>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</si>
  <si>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</si>
  <si>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</si>
  <si>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</si>
  <si>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</si>
  <si>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</si>
  <si>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</si>
  <si>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</si>
  <si>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</si>
  <si>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</si>
  <si>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</si>
  <si>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</si>
  <si>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</si>
  <si>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</si>
  <si>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</si>
  <si>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</si>
  <si>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</si>
  <si>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</si>
  <si>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</si>
  <si>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</si>
  <si>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</si>
  <si>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</si>
  <si>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</si>
  <si>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</si>
  <si>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</si>
  <si>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</si>
  <si>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</si>
  <si>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</si>
  <si>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</si>
  <si>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</si>
  <si>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</si>
  <si>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</si>
  <si>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</si>
  <si>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</si>
  <si>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</si>
  <si>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</si>
  <si>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</si>
  <si>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</si>
  <si>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</si>
  <si>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</si>
  <si>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</si>
  <si>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</si>
  <si>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</si>
  <si>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</si>
  <si>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</si>
  <si>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</si>
  <si>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</si>
  <si>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</si>
  <si>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</si>
  <si>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</si>
  <si>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</si>
  <si>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</si>
  <si>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</si>
  <si>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</si>
  <si>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</si>
  <si>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</si>
  <si>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</si>
  <si>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</si>
  <si>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</si>
  <si>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</si>
  <si>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</si>
  <si>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</si>
  <si>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</si>
  <si>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</si>
  <si>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</si>
  <si>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</si>
  <si>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</si>
  <si>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</si>
  <si>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</si>
  <si>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</si>
  <si>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</si>
  <si>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</si>
  <si>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</si>
  <si>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</si>
  <si>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</si>
  <si>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</si>
  <si>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</si>
  <si>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</si>
  <si>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</si>
  <si>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</si>
  <si>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</si>
  <si>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</si>
  <si>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</si>
  <si>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</si>
  <si>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</si>
  <si>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</si>
  <si>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</si>
  <si>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</si>
  <si>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</si>
  <si>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</si>
  <si>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</si>
  <si>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</si>
  <si>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</si>
  <si>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</si>
  <si>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</si>
  <si>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</si>
  <si>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</si>
  <si>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</si>
  <si>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</si>
  <si>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</si>
  <si>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</si>
  <si>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</si>
  <si>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</si>
  <si>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</si>
  <si>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</si>
  <si>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</si>
  <si>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</si>
  <si>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</si>
  <si>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</si>
  <si>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</si>
  <si>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</si>
  <si>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</si>
  <si>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</si>
  <si>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</si>
  <si>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</si>
  <si>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</si>
  <si>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</si>
  <si>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</si>
  <si>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</si>
  <si>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</si>
  <si>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</si>
  <si>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</si>
  <si>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</si>
  <si>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</si>
  <si>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</si>
  <si>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</si>
  <si>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</si>
  <si>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</si>
  <si>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</si>
  <si>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</si>
  <si>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</si>
  <si>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</si>
  <si>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</si>
  <si>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</si>
  <si>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</si>
  <si>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</si>
  <si>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</si>
  <si>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</si>
  <si>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</si>
  <si>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</si>
  <si>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</si>
  <si>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</si>
  <si>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</si>
  <si>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</si>
  <si>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</si>
  <si>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</si>
  <si>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</si>
  <si>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</si>
  <si>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</si>
  <si>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</si>
  <si>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</si>
  <si>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</si>
  <si>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</si>
  <si>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</si>
  <si>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</si>
  <si>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</si>
  <si>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</si>
  <si>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</si>
  <si>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</si>
  <si>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</si>
  <si>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</si>
  <si>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</si>
  <si>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</si>
  <si>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</si>
  <si>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</si>
  <si>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</si>
  <si>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</si>
  <si>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</si>
  <si>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</si>
  <si>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</si>
  <si>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</si>
  <si>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</si>
  <si>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</si>
  <si>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</si>
  <si>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</si>
  <si>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</si>
  <si>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</si>
  <si>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</si>
  <si>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</si>
  <si>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</si>
  <si>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</si>
  <si>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</si>
  <si>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</si>
  <si>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</si>
  <si>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</si>
  <si>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</si>
  <si>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</si>
  <si>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</si>
  <si>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</si>
  <si>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</si>
  <si>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</si>
  <si>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</si>
  <si>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</si>
  <si>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</si>
  <si>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</si>
  <si>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</si>
  <si>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</si>
  <si>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</si>
  <si>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</si>
  <si>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</si>
  <si>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</si>
  <si>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</si>
  <si>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</si>
  <si>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</si>
  <si>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</si>
  <si>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</si>
  <si>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</si>
  <si>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</si>
  <si>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</si>
  <si>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</si>
  <si>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</si>
  <si>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</si>
  <si>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</si>
  <si>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</si>
  <si>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</si>
  <si>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</si>
  <si>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</si>
  <si>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</si>
  <si>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</si>
  <si>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</si>
  <si>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</si>
  <si>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</si>
  <si>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</si>
  <si>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</si>
  <si>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</si>
  <si>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</si>
  <si>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</si>
  <si>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</si>
  <si>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</si>
  <si>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</si>
  <si>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</si>
  <si>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</si>
  <si>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</si>
  <si>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</si>
  <si>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</si>
  <si>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</si>
  <si>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</si>
  <si>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</si>
  <si>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</si>
  <si>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</si>
  <si>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</si>
  <si>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</si>
  <si>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</si>
  <si>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</si>
  <si>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</si>
  <si>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</si>
  <si>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</si>
  <si>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</si>
  <si>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</si>
  <si>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</si>
  <si>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</si>
  <si>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</si>
  <si>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</si>
  <si>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</si>
  <si>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</si>
  <si>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</si>
  <si>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</si>
  <si>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</si>
  <si>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</si>
  <si>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</si>
  <si>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</si>
  <si>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</si>
  <si>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</si>
  <si>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</si>
  <si>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</si>
  <si>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</si>
  <si>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</si>
  <si>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</si>
  <si>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</si>
  <si>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</si>
  <si>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</si>
  <si>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</si>
  <si>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</si>
  <si>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</si>
  <si>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</si>
  <si>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</si>
  <si>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</si>
  <si>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</si>
  <si>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</si>
  <si>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</si>
  <si>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</si>
  <si>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</si>
  <si>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</si>
  <si>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</si>
  <si>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</si>
  <si>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</si>
  <si>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</si>
  <si>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</si>
  <si>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</si>
  <si>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</si>
  <si>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</si>
  <si>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</si>
  <si>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</si>
  <si>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</si>
  <si>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</si>
  <si>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</si>
  <si>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</si>
  <si>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</si>
  <si>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</si>
  <si>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</si>
  <si>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</si>
  <si>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</si>
  <si>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</si>
  <si>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</si>
  <si>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</si>
  <si>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</si>
  <si>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</si>
  <si>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</si>
  <si>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</si>
  <si>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</si>
  <si>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</si>
  <si>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</si>
  <si>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</si>
  <si>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</si>
  <si>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</si>
  <si>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</si>
  <si>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</si>
  <si>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</si>
  <si>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</si>
  <si>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</si>
  <si>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</si>
  <si>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</si>
  <si>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</si>
  <si>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</si>
  <si>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</si>
  <si>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</si>
  <si>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</si>
  <si>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</si>
  <si>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</si>
  <si>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</si>
  <si>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</si>
  <si>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</si>
  <si>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</si>
  <si>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</si>
  <si>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</si>
  <si>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</si>
  <si>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</si>
  <si>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</si>
  <si>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</si>
  <si>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</si>
  <si>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</si>
  <si>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</si>
  <si>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</si>
  <si>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</si>
  <si>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</si>
  <si>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</si>
  <si>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</si>
  <si>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</si>
  <si>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</si>
  <si>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</si>
  <si>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</si>
  <si>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</si>
  <si>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</si>
  <si>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</si>
  <si>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</si>
  <si>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</si>
  <si>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</si>
  <si>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</si>
  <si>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</si>
  <si>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</si>
  <si>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</si>
  <si>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</si>
  <si>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</si>
  <si>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</si>
  <si>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</si>
  <si>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</si>
  <si>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</si>
  <si>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</si>
  <si>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</si>
  <si>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</si>
  <si>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</si>
  <si>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</si>
  <si>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</si>
  <si>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</si>
  <si>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</si>
  <si>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</si>
  <si>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</si>
  <si>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</si>
  <si>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</si>
  <si>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</si>
  <si>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</si>
  <si>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</si>
  <si>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</si>
  <si>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</si>
  <si>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</si>
  <si>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</si>
  <si>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</si>
  <si>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</si>
  <si>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</si>
  <si>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</si>
  <si>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</si>
  <si>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</si>
  <si>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</si>
  <si>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</si>
  <si>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</si>
  <si>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</si>
  <si>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</si>
  <si>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</si>
  <si>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</si>
  <si>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</si>
  <si>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</si>
  <si>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</si>
  <si>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</si>
  <si>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</si>
  <si>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</si>
  <si>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</si>
  <si>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</si>
  <si>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</si>
  <si>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</si>
  <si>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</si>
  <si>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</si>
  <si>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</si>
  <si>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</si>
  <si>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</si>
  <si>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</si>
  <si>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</si>
  <si>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</si>
  <si>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</si>
  <si>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</si>
  <si>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</si>
  <si>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</si>
  <si>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</si>
  <si>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</si>
  <si>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</si>
  <si>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</si>
  <si>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</si>
  <si>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</si>
  <si>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</si>
  <si>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</si>
  <si>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</si>
  <si>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</si>
  <si>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</si>
  <si>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</si>
  <si>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</si>
  <si>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</si>
  <si>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</si>
  <si>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</si>
  <si>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</si>
  <si>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</si>
  <si>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</si>
  <si>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</si>
  <si>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</si>
  <si>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</si>
  <si>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</si>
  <si>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</si>
  <si>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</si>
  <si>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</si>
  <si>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</si>
  <si>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</si>
  <si>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</si>
  <si>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</si>
  <si>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</si>
  <si>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</si>
  <si>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</si>
  <si>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</si>
  <si>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</si>
  <si>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</si>
  <si>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</si>
  <si>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</si>
  <si>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</si>
  <si>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</si>
  <si>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</si>
  <si>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</si>
  <si>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</si>
  <si>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</si>
  <si>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</si>
  <si>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</si>
  <si>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</si>
  <si>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</si>
  <si>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</si>
  <si>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</si>
  <si>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</si>
  <si>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</si>
  <si>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</si>
  <si>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</si>
  <si>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</si>
  <si>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</si>
  <si>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</si>
  <si>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</si>
  <si>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</si>
  <si>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</si>
  <si>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</si>
  <si>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</si>
  <si>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</si>
  <si>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</si>
  <si>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</si>
  <si>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</si>
  <si>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</si>
  <si>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</si>
  <si>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</si>
  <si>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</si>
  <si>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</si>
  <si>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</si>
  <si>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</si>
  <si>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</si>
  <si>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</si>
  <si>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</si>
  <si>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</si>
  <si>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</si>
  <si>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</si>
  <si>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</si>
  <si>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</si>
  <si>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</si>
  <si>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</si>
  <si>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</si>
  <si>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</si>
  <si>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</si>
  <si>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</si>
  <si>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</si>
  <si>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</si>
  <si>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</si>
  <si>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</si>
  <si>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</si>
  <si>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</si>
  <si>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</si>
  <si>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</si>
  <si>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</si>
  <si>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</si>
  <si>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</si>
  <si>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</si>
  <si>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</si>
  <si>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</si>
  <si>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</si>
  <si>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</si>
  <si>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</si>
  <si>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</si>
  <si>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</si>
  <si>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</si>
  <si>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</si>
  <si>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</si>
  <si>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</si>
  <si>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</si>
  <si>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</si>
  <si>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</si>
  <si>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</si>
  <si>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</si>
  <si>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</si>
  <si>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</si>
  <si>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</si>
  <si>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</si>
  <si>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</si>
  <si>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</si>
  <si>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</si>
  <si>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</si>
  <si>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</si>
  <si>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</si>
  <si>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</si>
  <si>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</si>
  <si>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</si>
  <si>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</si>
  <si>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</si>
  <si>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</si>
  <si>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</si>
  <si>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</si>
  <si>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</si>
  <si>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</si>
  <si>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</si>
  <si>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</si>
  <si>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</si>
  <si>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</si>
  <si>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</si>
  <si>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</si>
  <si>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</si>
  <si>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</si>
  <si>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</si>
  <si>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</si>
  <si>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</si>
  <si>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</si>
  <si>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</si>
  <si>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</si>
  <si>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</si>
  <si>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</si>
  <si>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</si>
  <si>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</si>
  <si>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</si>
  <si>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</si>
  <si>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</si>
  <si>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</si>
  <si>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</si>
  <si>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</si>
  <si>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</si>
  <si>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</si>
  <si>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</si>
  <si>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</si>
  <si>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</si>
  <si>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</si>
  <si>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</si>
  <si>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</si>
  <si>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</si>
  <si>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</si>
  <si>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</si>
  <si>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</si>
  <si>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</si>
  <si>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</si>
  <si>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</si>
  <si>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</si>
  <si>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</si>
  <si>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</si>
  <si>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</si>
  <si>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</si>
  <si>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</si>
  <si>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</si>
  <si>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</si>
  <si>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</si>
  <si>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</si>
  <si>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</si>
  <si>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</si>
  <si>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</si>
  <si>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</si>
  <si>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</si>
  <si>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</si>
  <si>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</si>
  <si>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</si>
  <si>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</si>
  <si>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</si>
  <si>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</si>
  <si>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</si>
  <si>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</si>
  <si>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</si>
  <si>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</si>
  <si>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</si>
  <si>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</si>
  <si>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</si>
  <si>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</si>
  <si>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</si>
  <si>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</si>
  <si>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</si>
  <si>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</si>
  <si>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</si>
  <si>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</si>
  <si>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</si>
  <si>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</si>
  <si>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</si>
  <si>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</si>
  <si>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</si>
  <si>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</si>
  <si>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</si>
  <si>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</si>
  <si>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</si>
  <si>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</si>
  <si>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</si>
  <si>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</si>
  <si>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</si>
  <si>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</si>
  <si>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</si>
  <si>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</si>
  <si>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</si>
  <si>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</si>
  <si>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</si>
  <si>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</si>
  <si>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</si>
  <si>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</si>
  <si>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</si>
  <si>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</si>
  <si>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</si>
  <si>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</si>
  <si>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</si>
  <si>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</si>
  <si>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</si>
  <si>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</si>
  <si>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</si>
  <si>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</si>
  <si>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</si>
  <si>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</si>
  <si>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</si>
  <si>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</si>
  <si>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</si>
  <si>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</si>
  <si>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</si>
  <si>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</si>
  <si>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</si>
  <si>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</si>
  <si>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</si>
  <si>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</si>
  <si>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</si>
  <si>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</si>
  <si>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</si>
  <si>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</si>
  <si>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</si>
  <si>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</si>
  <si>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</si>
  <si>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</si>
  <si>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</si>
  <si>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</si>
  <si>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</si>
  <si>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</si>
  <si>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</si>
  <si>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</si>
  <si>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</si>
  <si>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</si>
  <si>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</si>
  <si>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</si>
  <si>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</si>
  <si>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</si>
  <si>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</si>
  <si>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</si>
  <si>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</si>
  <si>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</si>
  <si>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</si>
  <si>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</si>
  <si>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</si>
  <si>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</si>
  <si>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</si>
  <si>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</si>
  <si>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</si>
  <si>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</si>
  <si>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</si>
  <si>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</si>
  <si>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</si>
  <si>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</si>
  <si>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</si>
  <si>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</si>
  <si>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</si>
  <si>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</si>
  <si>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</si>
  <si>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</si>
  <si>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</si>
  <si>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</si>
  <si>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</si>
  <si>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</si>
  <si>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</si>
  <si>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</si>
  <si>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</si>
  <si>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</si>
  <si>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</si>
  <si>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</si>
  <si>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</si>
  <si>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</si>
  <si>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</si>
  <si>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</si>
  <si>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</si>
  <si>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</si>
  <si>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</si>
  <si>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</si>
  <si>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</si>
  <si>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</si>
  <si>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</si>
  <si>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</si>
  <si>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</si>
  <si>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</si>
  <si>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</si>
  <si>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</si>
  <si>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</si>
  <si>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</si>
  <si>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</si>
  <si>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</si>
  <si>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</si>
  <si>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</si>
  <si>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</si>
  <si>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</si>
  <si>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</si>
  <si>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</si>
  <si>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</si>
  <si>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</si>
  <si>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</si>
  <si>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</si>
  <si>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</si>
  <si>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</si>
  <si>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</si>
  <si>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</si>
  <si>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</si>
  <si>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</si>
  <si>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</si>
  <si>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</si>
  <si>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</si>
  <si>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</si>
  <si>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</si>
  <si>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</si>
  <si>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</si>
  <si>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</si>
  <si>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</si>
  <si>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</si>
  <si>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</si>
  <si>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</si>
  <si>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</si>
  <si>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</si>
  <si>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</si>
  <si>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</si>
  <si>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</si>
  <si>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</si>
  <si>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</si>
  <si>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</si>
  <si>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</si>
  <si>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</si>
  <si>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</si>
  <si>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</si>
  <si>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</si>
  <si>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</si>
  <si>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</si>
  <si>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</si>
  <si>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</si>
  <si>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</si>
  <si>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</si>
  <si>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</si>
  <si>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</si>
  <si>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</si>
  <si>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</si>
  <si>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</si>
  <si>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</si>
  <si>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</si>
  <si>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</si>
  <si>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</si>
  <si>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</si>
  <si>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</si>
  <si>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</si>
  <si>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</si>
  <si>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</si>
  <si>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</si>
  <si>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</si>
  <si>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</si>
  <si>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</si>
  <si>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</si>
  <si>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</si>
  <si>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</si>
  <si>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</si>
  <si>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</si>
  <si>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</si>
  <si>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</si>
  <si>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</si>
  <si>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</si>
  <si>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</si>
  <si>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</si>
  <si>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</si>
  <si>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</si>
  <si>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</si>
  <si>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</si>
  <si>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</si>
  <si>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</si>
  <si>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</si>
  <si>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</si>
  <si>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</si>
  <si>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</si>
  <si>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</si>
  <si>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</si>
  <si>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</si>
  <si>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</si>
  <si>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</si>
  <si>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</si>
  <si>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</si>
  <si>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</si>
  <si>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</si>
  <si>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</si>
  <si>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</si>
  <si>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</si>
  <si>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</si>
  <si>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</si>
  <si>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</si>
  <si>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</si>
  <si>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</si>
  <si>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</si>
  <si>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</si>
  <si>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</si>
  <si>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</si>
  <si>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</si>
  <si>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</si>
  <si>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</si>
  <si>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</si>
  <si>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</si>
  <si>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</si>
  <si>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</si>
  <si>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</si>
  <si>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</si>
  <si>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</si>
  <si>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</si>
  <si>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</si>
  <si>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</si>
  <si>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</si>
  <si>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</si>
  <si>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</si>
  <si>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</si>
  <si>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</si>
  <si>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</si>
  <si>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</si>
  <si>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</si>
  <si>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</si>
  <si>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</si>
  <si>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</si>
  <si>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</si>
  <si>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</si>
  <si>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</si>
  <si>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</si>
  <si>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</si>
  <si>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</si>
  <si>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</si>
  <si>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</si>
  <si>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</si>
  <si>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</si>
  <si>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</si>
  <si>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</si>
  <si>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</si>
  <si>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</si>
  <si>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</si>
  <si>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</si>
  <si>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</si>
  <si>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</si>
  <si>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</si>
  <si>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</si>
  <si>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</si>
  <si>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</si>
  <si>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</si>
  <si>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</si>
  <si>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</si>
  <si>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</si>
  <si>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</si>
  <si>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</si>
  <si>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</si>
  <si>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</si>
  <si>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</si>
  <si>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</si>
  <si>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</si>
  <si>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</si>
  <si>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</si>
  <si>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</si>
  <si>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</si>
  <si>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</si>
  <si>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</si>
  <si>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</si>
  <si>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</si>
  <si>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</si>
  <si>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</si>
  <si>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</si>
  <si>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</si>
  <si>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</si>
  <si>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</si>
  <si>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</si>
  <si>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</si>
  <si>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</si>
  <si>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</si>
  <si>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</si>
  <si>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</si>
  <si>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</si>
  <si>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</si>
  <si>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</si>
  <si>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</si>
  <si>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</si>
  <si>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</si>
  <si>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</si>
  <si>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</si>
  <si>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</si>
  <si>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</si>
  <si>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</si>
  <si>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</si>
  <si>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</si>
  <si>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</si>
  <si>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</si>
  <si>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</si>
  <si>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</si>
  <si>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</si>
  <si>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</si>
  <si>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</si>
  <si>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</si>
  <si>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</si>
  <si>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</si>
  <si>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</si>
  <si>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</si>
  <si>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</si>
  <si>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</si>
  <si>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</si>
  <si>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</si>
  <si>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</si>
  <si>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</si>
  <si>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</si>
  <si>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</si>
  <si>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</si>
  <si>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</si>
  <si>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</si>
  <si>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</si>
  <si>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</si>
  <si>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</si>
  <si>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</si>
  <si>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</si>
  <si>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</si>
  <si>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</si>
  <si>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</si>
  <si>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</si>
  <si>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</si>
  <si>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</si>
  <si>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</si>
  <si>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</si>
  <si>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</si>
  <si>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</si>
  <si>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</si>
  <si>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</si>
  <si>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</si>
  <si>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</si>
  <si>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</si>
  <si>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</si>
  <si>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</si>
  <si>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</si>
  <si>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</si>
  <si>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</si>
  <si>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</si>
  <si>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</si>
  <si>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</si>
  <si>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</si>
  <si>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</si>
  <si>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</si>
  <si>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</si>
  <si>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</si>
  <si>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</si>
  <si>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</si>
  <si>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</si>
  <si>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</si>
  <si>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</si>
  <si>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</si>
  <si>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</si>
  <si>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</si>
  <si>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</si>
  <si>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</si>
  <si>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</si>
  <si>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</si>
  <si>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</si>
  <si>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</si>
  <si>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</si>
  <si>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</si>
  <si>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</si>
  <si>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</si>
  <si>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</si>
  <si>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</si>
  <si>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</si>
  <si>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</si>
  <si>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</si>
  <si>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</si>
  <si>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</si>
  <si>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</si>
  <si>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</si>
  <si>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</si>
  <si>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</si>
  <si>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</si>
  <si>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</si>
  <si>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</si>
  <si>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</si>
  <si>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</si>
  <si>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</si>
  <si>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</si>
  <si>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</si>
  <si>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</si>
  <si>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</si>
  <si>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</si>
  <si>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</si>
  <si>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</si>
  <si>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</si>
  <si>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</si>
  <si>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</si>
  <si>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</si>
  <si>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</si>
  <si>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</si>
  <si>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</si>
  <si>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</si>
  <si>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</si>
  <si>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</si>
  <si>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</si>
  <si>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</si>
  <si>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</si>
  <si>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</si>
  <si>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</si>
  <si>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</si>
  <si>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</si>
  <si>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</si>
  <si>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</si>
  <si>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</si>
  <si>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</si>
  <si>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</si>
  <si>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</si>
  <si>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</si>
  <si>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</si>
  <si>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</si>
  <si>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</si>
  <si>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</si>
  <si>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</si>
  <si>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</si>
  <si>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</si>
  <si>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</si>
  <si>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</si>
  <si>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</si>
  <si>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</si>
  <si>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</si>
  <si>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</si>
  <si>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</si>
  <si>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</si>
  <si>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</si>
  <si>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</si>
  <si>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</si>
  <si>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</si>
  <si>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</si>
  <si>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</si>
  <si>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</si>
  <si>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</si>
  <si>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</si>
  <si>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</si>
  <si>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</si>
  <si>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</si>
  <si>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</si>
  <si>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</si>
  <si>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</si>
  <si>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</si>
  <si>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</si>
  <si>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</si>
  <si>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</si>
  <si>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</si>
  <si>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</si>
  <si>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</si>
  <si>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</si>
  <si>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</si>
  <si>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</si>
  <si>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</si>
  <si>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</si>
  <si>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</si>
  <si>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</si>
  <si>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</si>
  <si>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</si>
  <si>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</si>
  <si>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</si>
  <si>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</si>
  <si>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</si>
  <si>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</si>
  <si>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</si>
  <si>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</si>
  <si>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</si>
  <si>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</si>
  <si>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</si>
  <si>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</si>
  <si>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</si>
  <si>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</si>
  <si>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</si>
  <si>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</si>
  <si>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</si>
  <si>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</si>
  <si>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</si>
  <si>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</si>
  <si>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</si>
  <si>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</si>
  <si>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</si>
  <si>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</si>
  <si>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</si>
  <si>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</si>
  <si>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</si>
  <si>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</si>
  <si>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</si>
  <si>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</si>
  <si>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</si>
  <si>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</si>
  <si>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</si>
  <si>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</si>
  <si>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</si>
  <si>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</si>
  <si>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</si>
  <si>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</si>
  <si>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</si>
  <si>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</si>
  <si>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</si>
  <si>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</si>
  <si>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</si>
  <si>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</si>
  <si>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</si>
  <si>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</si>
  <si>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</si>
  <si>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</si>
  <si>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</si>
  <si>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</si>
  <si>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</si>
  <si>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</si>
  <si>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</si>
  <si>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</si>
  <si>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</si>
  <si>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</si>
  <si>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</si>
  <si>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</si>
  <si>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</si>
  <si>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</si>
  <si>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</si>
  <si>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</si>
  <si>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</si>
  <si>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</si>
  <si>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</si>
  <si>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</si>
  <si>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</si>
  <si>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</si>
  <si>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</si>
  <si>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</si>
  <si>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</si>
  <si>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</si>
  <si>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</si>
  <si>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</si>
  <si>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</si>
  <si>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</si>
  <si>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</si>
  <si>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</si>
  <si>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</si>
  <si>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</si>
  <si>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</si>
  <si>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</si>
  <si>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</si>
  <si>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</si>
  <si>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</si>
  <si>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</si>
  <si>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</si>
  <si>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</si>
  <si>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</si>
  <si>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</si>
  <si>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</si>
  <si>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</si>
  <si>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</si>
  <si>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</si>
  <si>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</si>
  <si>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</si>
  <si>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</si>
  <si>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</si>
  <si>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</si>
  <si>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</si>
  <si>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</si>
  <si>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</si>
  <si>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</si>
  <si>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</si>
  <si>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</si>
  <si>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</si>
  <si>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</si>
  <si>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</si>
  <si>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</si>
  <si>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</si>
  <si>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</si>
  <si>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</si>
  <si>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</si>
  <si>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</si>
  <si>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</si>
  <si>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</si>
  <si>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</si>
  <si>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</si>
  <si>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</si>
  <si>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</si>
  <si>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</si>
  <si>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</si>
  <si>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</si>
  <si>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</si>
  <si>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</si>
  <si>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</si>
  <si>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</si>
  <si>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</si>
  <si>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</si>
  <si>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</si>
  <si>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</si>
  <si>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</si>
  <si>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</si>
  <si>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</si>
  <si>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</si>
  <si>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</si>
  <si>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</si>
  <si>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</si>
  <si>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</si>
  <si>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</si>
  <si>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</si>
  <si>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</si>
  <si>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</si>
  <si>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</si>
  <si>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</si>
  <si>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</si>
  <si>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</si>
  <si>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</si>
  <si>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</si>
  <si>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</si>
  <si>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</si>
  <si>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</si>
  <si>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</si>
  <si>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</si>
  <si>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</si>
  <si>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</si>
  <si>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</si>
  <si>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</si>
  <si>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</si>
  <si>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</si>
  <si>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</si>
  <si>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</si>
  <si>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</si>
  <si>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</si>
  <si>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</si>
  <si>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</si>
  <si>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</si>
  <si>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</si>
  <si>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</si>
  <si>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</si>
  <si>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</si>
  <si>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</si>
  <si>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</si>
  <si>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</si>
  <si>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</si>
  <si>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</si>
  <si>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</si>
  <si>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</si>
  <si>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</si>
  <si>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</si>
  <si>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</si>
  <si>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</si>
  <si>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</si>
  <si>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</si>
  <si>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</si>
  <si>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</si>
  <si>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</si>
  <si>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</si>
  <si>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</si>
  <si>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</si>
  <si>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</si>
  <si>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</si>
  <si>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</si>
  <si>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</si>
  <si>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</si>
  <si>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</si>
  <si>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</si>
  <si>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</si>
  <si>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</si>
  <si>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</si>
  <si>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</si>
  <si>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</si>
  <si>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</si>
  <si>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</si>
  <si>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</si>
  <si>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</si>
  <si>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</si>
  <si>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</si>
  <si>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</si>
  <si>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</si>
  <si>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</si>
  <si>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</si>
  <si>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</si>
  <si>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</si>
  <si>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</si>
  <si>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</si>
  <si>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</si>
  <si>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</si>
  <si>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</si>
  <si>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</si>
  <si>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</si>
  <si>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</si>
  <si>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</si>
  <si>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</si>
  <si>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</si>
  <si>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</si>
  <si>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</si>
  <si>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</si>
  <si>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</si>
  <si>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</si>
  <si>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</si>
  <si>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</si>
  <si>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</si>
  <si>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</si>
  <si>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</si>
  <si>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</si>
  <si>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</si>
  <si>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</si>
  <si>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</si>
  <si>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</si>
  <si>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</si>
  <si>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</si>
  <si>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</si>
  <si>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</si>
  <si>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</si>
  <si>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</si>
  <si>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</si>
  <si>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</si>
  <si>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</si>
  <si>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</si>
  <si>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</si>
  <si>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</si>
  <si>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</si>
  <si>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</si>
  <si>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</si>
  <si>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</si>
  <si>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</si>
  <si>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</si>
  <si>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</si>
  <si>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</si>
  <si>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</si>
  <si>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</si>
  <si>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</si>
  <si>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</si>
  <si>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</si>
  <si>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</si>
  <si>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</si>
  <si>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</si>
  <si>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</si>
  <si>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</si>
  <si>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</si>
  <si>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</si>
  <si>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</si>
  <si>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</si>
  <si>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</si>
  <si>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</si>
  <si>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</si>
  <si>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</si>
  <si>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</si>
  <si>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</si>
  <si>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</si>
  <si>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</si>
  <si>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</si>
  <si>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</si>
  <si>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</si>
  <si>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</si>
  <si>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</si>
  <si>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</si>
  <si>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</si>
  <si>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</si>
  <si>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</si>
  <si>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</si>
  <si>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</si>
  <si>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</si>
  <si>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</si>
  <si>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</si>
  <si>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</si>
  <si>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</si>
  <si>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</si>
  <si>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</si>
  <si>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</si>
  <si>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</si>
  <si>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</si>
  <si>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</si>
  <si>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</si>
  <si>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</si>
  <si>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</si>
  <si>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</si>
  <si>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</si>
  <si>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</si>
  <si>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</si>
  <si>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</si>
  <si>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</si>
  <si>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</si>
  <si>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</si>
  <si>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</si>
  <si>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</si>
  <si>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</si>
  <si>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</si>
  <si>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</si>
  <si>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</si>
  <si>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</si>
  <si>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</si>
  <si>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</si>
  <si>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</si>
  <si>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</si>
  <si>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</si>
  <si>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</si>
  <si>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</si>
  <si>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</si>
  <si>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</si>
  <si>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</si>
  <si>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</si>
  <si>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</si>
  <si>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</si>
  <si>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</si>
  <si>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</si>
  <si>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</si>
  <si>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</si>
  <si>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</si>
  <si>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</si>
  <si>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</si>
  <si>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</si>
  <si>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</si>
  <si>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</si>
  <si>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</si>
  <si>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</si>
  <si>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</si>
  <si>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</si>
  <si>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</si>
  <si>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</si>
  <si>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</si>
  <si>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</si>
  <si>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</si>
  <si>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</si>
  <si>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</si>
  <si>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</si>
  <si>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</si>
  <si>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</si>
  <si>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</si>
  <si>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</si>
  <si>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</si>
  <si>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</si>
  <si>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</si>
  <si>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</si>
  <si>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</si>
  <si>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</si>
  <si>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</si>
  <si>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</si>
  <si>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</si>
  <si>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</si>
  <si>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</si>
  <si>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</si>
  <si>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</si>
  <si>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</si>
  <si>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</si>
  <si>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</si>
  <si>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</si>
  <si>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</si>
  <si>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</si>
  <si>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</si>
  <si>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</si>
  <si>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</si>
  <si>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</si>
  <si>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</si>
  <si>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</si>
  <si>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</si>
  <si>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</si>
  <si>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</si>
  <si>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</si>
  <si>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</si>
  <si>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</si>
  <si>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</si>
  <si>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</si>
  <si>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</si>
  <si>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</si>
  <si>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</si>
  <si>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</si>
  <si>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</si>
  <si>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</si>
  <si>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</si>
  <si>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</si>
  <si>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</si>
  <si>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</si>
  <si>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</si>
  <si>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</si>
  <si>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</si>
  <si>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</si>
  <si>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</si>
  <si>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</si>
  <si>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</si>
  <si>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</si>
  <si>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</si>
  <si>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</si>
  <si>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</si>
  <si>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</si>
  <si>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</si>
  <si>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</si>
  <si>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</si>
  <si>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</si>
  <si>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</si>
  <si>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</si>
  <si>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</si>
  <si>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</si>
  <si>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</si>
  <si>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</si>
  <si>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</si>
  <si>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</si>
  <si>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</si>
  <si>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</si>
  <si>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</si>
  <si>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</si>
  <si>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</si>
  <si>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</si>
  <si>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</si>
  <si>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</si>
  <si>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</si>
  <si>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</si>
  <si>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</si>
  <si>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</si>
  <si>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</si>
  <si>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</si>
  <si>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</si>
  <si>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</si>
  <si>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</si>
  <si>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</si>
  <si>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</si>
  <si>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</si>
  <si>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</si>
  <si>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</si>
  <si>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</si>
  <si>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</si>
  <si>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</si>
  <si>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</si>
  <si>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</si>
  <si>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</si>
  <si>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</si>
  <si>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</si>
  <si>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</si>
  <si>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</si>
  <si>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</si>
  <si>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</si>
  <si>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</si>
  <si>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</si>
  <si>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</si>
  <si>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</si>
  <si>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</si>
  <si>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</si>
  <si>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</si>
  <si>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</si>
  <si>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</si>
  <si>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</si>
  <si>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</si>
  <si>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</si>
  <si>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</si>
  <si>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</si>
  <si>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</si>
  <si>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</si>
  <si>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</si>
  <si>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</si>
  <si>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</si>
  <si>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</si>
  <si>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</si>
  <si>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</si>
  <si>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</si>
  <si>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</si>
  <si>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</si>
  <si>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</si>
  <si>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</si>
  <si>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</si>
  <si>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</si>
  <si>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</si>
  <si>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</si>
  <si>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</si>
  <si>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</si>
  <si>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</si>
  <si>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</si>
  <si>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</si>
  <si>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</si>
  <si>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</si>
  <si>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</si>
  <si>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</si>
  <si>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</si>
  <si>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</si>
  <si>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</si>
  <si>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</si>
  <si>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</si>
  <si>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</si>
  <si>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</si>
  <si>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</si>
  <si>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</si>
  <si>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</si>
  <si>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</si>
  <si>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</si>
  <si>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</si>
  <si>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</si>
  <si>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</si>
  <si>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</si>
  <si>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</si>
  <si>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</si>
  <si>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</si>
  <si>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</si>
  <si>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</si>
  <si>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</si>
  <si>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</si>
  <si>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</si>
  <si>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</si>
  <si>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</si>
  <si>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</si>
  <si>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</si>
  <si>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</si>
  <si>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</si>
  <si>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</si>
  <si>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</si>
  <si>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</si>
  <si>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</si>
  <si>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</si>
  <si>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</si>
  <si>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</si>
  <si>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</si>
  <si>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</si>
  <si>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</si>
  <si>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</si>
  <si>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</si>
  <si>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</si>
  <si>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</si>
  <si>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</si>
  <si>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</si>
  <si>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</si>
  <si>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</si>
  <si>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</si>
  <si>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</si>
  <si>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</si>
  <si>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</si>
  <si>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</si>
  <si>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</si>
  <si>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</si>
  <si>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</si>
  <si>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</si>
  <si>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</si>
  <si>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</si>
  <si>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</si>
  <si>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</si>
  <si>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</si>
  <si>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</si>
  <si>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</si>
  <si>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</si>
  <si>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</si>
  <si>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</si>
  <si>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</si>
  <si>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</si>
  <si>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</si>
  <si>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</si>
  <si>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</si>
  <si>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</si>
  <si>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</si>
  <si>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</si>
  <si>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</si>
  <si>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</si>
  <si>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</si>
  <si>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</si>
  <si>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</si>
  <si>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</si>
  <si>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</si>
  <si>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</si>
  <si>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</si>
  <si>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</si>
  <si>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</si>
  <si>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</si>
  <si>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</si>
  <si>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</si>
  <si>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</si>
  <si>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</si>
  <si>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</si>
  <si>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</si>
  <si>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</si>
  <si>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</si>
  <si>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</si>
  <si>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</si>
  <si>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</si>
  <si>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</si>
  <si>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</si>
  <si>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</si>
  <si>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</si>
  <si>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</si>
  <si>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</si>
  <si>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</si>
  <si>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</si>
  <si>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</si>
  <si>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</si>
  <si>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</si>
  <si>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</si>
  <si>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</si>
  <si>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</si>
  <si>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</si>
  <si>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</si>
  <si>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</si>
  <si>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</si>
  <si>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</si>
  <si>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</si>
  <si>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</si>
  <si>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</si>
  <si>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</si>
  <si>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</si>
  <si>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</si>
  <si>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</si>
  <si>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</si>
  <si>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</si>
  <si>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</si>
  <si>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</si>
  <si>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</si>
  <si>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</si>
  <si>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</si>
  <si>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</si>
  <si>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</si>
  <si>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</si>
  <si>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</si>
  <si>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</si>
  <si>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</si>
  <si>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</si>
  <si>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</si>
  <si>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</si>
  <si>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</si>
  <si>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</si>
  <si>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</si>
  <si>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</si>
  <si>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</si>
  <si>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</si>
  <si>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</si>
  <si>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</si>
  <si>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</si>
  <si>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</si>
  <si>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</si>
  <si>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</si>
  <si>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</si>
  <si>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</si>
  <si>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</si>
  <si>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</si>
  <si>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</si>
  <si>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</si>
  <si>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</si>
  <si>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</si>
  <si>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</si>
  <si>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</si>
  <si>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</si>
  <si>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</si>
  <si>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</si>
  <si>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</si>
  <si>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</si>
  <si>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</si>
  <si>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</si>
  <si>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</si>
  <si>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</si>
  <si>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</si>
  <si>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</si>
  <si>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</si>
  <si>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</si>
  <si>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</si>
  <si>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</si>
  <si>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</si>
  <si>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</si>
  <si>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</si>
  <si>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</si>
  <si>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</si>
  <si>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</si>
  <si>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</si>
  <si>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</si>
  <si>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</si>
  <si>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</si>
  <si>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</si>
  <si>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</si>
  <si>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</si>
  <si>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</si>
  <si>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</si>
  <si>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</si>
  <si>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</si>
  <si>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</si>
  <si>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</si>
  <si>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</si>
  <si>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</si>
  <si>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</si>
  <si>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</si>
  <si>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</si>
  <si>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</si>
  <si>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</si>
  <si>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</si>
  <si>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</si>
  <si>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</si>
  <si>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</si>
  <si>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</si>
  <si>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</si>
  <si>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</si>
  <si>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</si>
  <si>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</si>
  <si>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</si>
  <si>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</si>
  <si>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</si>
  <si>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</si>
  <si>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</si>
  <si>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</si>
  <si>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</si>
  <si>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</si>
  <si>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</si>
  <si>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</si>
  <si>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</si>
  <si>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</si>
  <si>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</si>
  <si>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</si>
  <si>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</si>
  <si>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</si>
  <si>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</si>
  <si>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</si>
  <si>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</si>
  <si>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</si>
  <si>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</si>
  <si>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</si>
  <si>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</si>
  <si>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</si>
  <si>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</si>
  <si>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</si>
  <si>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</si>
  <si>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</si>
  <si>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</si>
  <si>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</si>
  <si>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</si>
  <si>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</si>
  <si>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</si>
  <si>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</si>
  <si>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</si>
  <si>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</si>
  <si>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</si>
  <si>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</si>
  <si>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</si>
  <si>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</si>
  <si>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</si>
  <si>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</si>
  <si>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</si>
  <si>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</si>
  <si>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</si>
  <si>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</si>
  <si>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</si>
  <si>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</si>
  <si>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</si>
  <si>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</si>
  <si>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</si>
  <si>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</si>
  <si>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</si>
  <si>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</si>
  <si>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</si>
  <si>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</si>
  <si>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</si>
  <si>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</si>
  <si>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</si>
  <si>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</si>
  <si>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</si>
  <si>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</si>
  <si>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</si>
  <si>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</si>
  <si>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</si>
  <si>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</si>
  <si>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</si>
  <si>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</si>
  <si>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</si>
  <si>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</si>
  <si>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</si>
  <si>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</si>
  <si>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</si>
  <si>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</si>
  <si>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</si>
  <si>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</si>
  <si>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</si>
  <si>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</si>
  <si>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</si>
  <si>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</si>
  <si>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</si>
  <si>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</si>
  <si>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</si>
  <si>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</si>
  <si>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</si>
  <si>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</si>
  <si>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</si>
  <si>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</si>
  <si>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</si>
  <si>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</si>
  <si>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</si>
  <si>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</si>
  <si>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</si>
  <si>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</si>
  <si>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</si>
  <si>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</si>
  <si>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</si>
  <si>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</si>
  <si>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</si>
  <si>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</si>
  <si>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</si>
  <si>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</si>
  <si>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</si>
  <si>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</si>
  <si>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</si>
  <si>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</si>
  <si>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</si>
  <si>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</si>
  <si>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</si>
  <si>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</si>
  <si>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</si>
  <si>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</si>
  <si>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</si>
  <si>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</si>
  <si>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</si>
  <si>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</si>
  <si>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</si>
  <si>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</si>
  <si>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</si>
  <si>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</si>
  <si>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</si>
  <si>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</si>
  <si>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</si>
  <si>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</si>
  <si>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</si>
  <si>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</si>
  <si>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</si>
  <si>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</si>
  <si>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</si>
  <si>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</si>
  <si>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</si>
  <si>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</si>
  <si>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</si>
  <si>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</si>
  <si>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</si>
  <si>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</si>
  <si>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</si>
  <si>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</si>
  <si>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</si>
  <si>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</si>
  <si>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</si>
  <si>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</si>
  <si>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</si>
  <si>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</si>
  <si>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</si>
  <si>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</si>
  <si>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</si>
  <si>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</si>
  <si>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</si>
  <si>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</si>
  <si>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</si>
  <si>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</si>
  <si>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</si>
  <si>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</si>
  <si>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</si>
  <si>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</si>
  <si>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</si>
  <si>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</si>
  <si>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</si>
  <si>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</si>
  <si>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</si>
  <si>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</si>
  <si>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</si>
  <si>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</si>
  <si>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</si>
  <si>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</si>
  <si>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</si>
  <si>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</si>
  <si>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</si>
  <si>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</si>
  <si>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</si>
  <si>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</si>
  <si>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</si>
  <si>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</si>
  <si>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</si>
  <si>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</si>
  <si>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</si>
  <si>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</si>
  <si>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</si>
  <si>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</si>
  <si>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</si>
  <si>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</si>
  <si>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</si>
  <si>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</si>
  <si>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</si>
  <si>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</si>
  <si>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</si>
  <si>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</si>
  <si>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</si>
  <si>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</si>
  <si>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</si>
  <si>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</si>
  <si>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</si>
  <si>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</si>
  <si>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</si>
  <si>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</si>
  <si>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</si>
  <si>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</si>
  <si>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</si>
  <si>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</si>
  <si>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</si>
  <si>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</si>
  <si>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</si>
  <si>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</si>
  <si>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</si>
  <si>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</si>
  <si>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</si>
  <si>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</si>
  <si>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</si>
  <si>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</si>
  <si>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</si>
  <si>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</si>
  <si>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</si>
  <si>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</si>
  <si>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</si>
  <si>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</si>
  <si>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</si>
  <si>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</si>
  <si>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</si>
  <si>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</si>
  <si>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</si>
  <si>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</si>
  <si>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</si>
  <si>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</si>
  <si>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</si>
  <si>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</si>
  <si>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</si>
  <si>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</si>
  <si>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</si>
  <si>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</si>
  <si>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</si>
  <si>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</si>
  <si>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</si>
  <si>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</si>
  <si>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</si>
  <si>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</si>
  <si>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</si>
  <si>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</si>
  <si>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</si>
  <si>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</si>
  <si>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</si>
  <si>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</si>
  <si>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</si>
  <si>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</si>
  <si>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</si>
  <si>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</si>
  <si>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</si>
  <si>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</si>
  <si>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</si>
  <si>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</si>
  <si>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</si>
  <si>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</si>
  <si>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</si>
  <si>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</si>
  <si>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</si>
  <si>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</si>
  <si>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</si>
  <si>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</si>
  <si>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</si>
  <si>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</si>
  <si>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</si>
  <si>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</si>
  <si>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</si>
  <si>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</si>
  <si>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</si>
  <si>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</si>
  <si>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</si>
  <si>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</si>
  <si>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</si>
  <si>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</si>
  <si>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</si>
  <si>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</si>
  <si>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</si>
  <si>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</si>
  <si>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</si>
  <si>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</si>
  <si>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</si>
  <si>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</si>
  <si>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</si>
  <si>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</si>
  <si>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</si>
  <si>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</si>
  <si>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</si>
  <si>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</si>
  <si>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</si>
  <si>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</si>
  <si>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</si>
  <si>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</si>
  <si>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</si>
  <si>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</si>
  <si>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</si>
  <si>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</si>
  <si>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</si>
  <si>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</si>
  <si>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</si>
  <si>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</si>
  <si>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</si>
  <si>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</si>
  <si>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</si>
  <si>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</si>
  <si>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</si>
  <si>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</si>
  <si>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</si>
  <si>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</si>
  <si>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</si>
  <si>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</si>
  <si>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</si>
  <si>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</si>
  <si>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</si>
  <si>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</si>
  <si>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</si>
  <si>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</si>
  <si>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</si>
  <si>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</si>
  <si>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</si>
  <si>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</si>
  <si>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</si>
  <si>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</si>
  <si>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</si>
  <si>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</si>
  <si>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</si>
  <si>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</si>
  <si>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</si>
  <si>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</si>
  <si>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</si>
  <si>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</si>
  <si>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</si>
  <si>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</si>
  <si>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</si>
  <si>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</si>
  <si>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</si>
  <si>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</si>
  <si>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</si>
  <si>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</si>
  <si>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</si>
  <si>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</si>
  <si>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</si>
  <si>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</si>
  <si>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</si>
  <si>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</si>
  <si>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وغدیر 94349 تا 214.57</t>
  </si>
  <si>
    <t>2/8/1397</t>
  </si>
  <si>
    <t>وتوسم 54308 تا 179.4</t>
  </si>
  <si>
    <t>هدف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</si>
</sst>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4268</v>
      </c>
      <c r="B1" t="s">
        <v>4269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3" workbookViewId="0">
      <selection activeCell="D41" sqref="D4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4182</v>
      </c>
      <c r="B3" s="18">
        <v>0</v>
      </c>
      <c r="C3" s="18">
        <v>0</v>
      </c>
      <c r="D3" s="117">
        <f t="shared" ref="D3:D26" si="0">B3-C3</f>
        <v>0</v>
      </c>
      <c r="E3" s="20"/>
      <c r="F3" s="96">
        <v>30</v>
      </c>
      <c r="G3" s="96">
        <f t="shared" ref="G3:G25" si="1">B3*F3</f>
        <v>0</v>
      </c>
      <c r="H3" s="96">
        <f t="shared" ref="H3:H25" si="2">C3*F3</f>
        <v>0</v>
      </c>
      <c r="I3" s="96">
        <f t="shared" ref="I3:I25" si="3">D3*F3</f>
        <v>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4201</v>
      </c>
      <c r="B4" s="18">
        <v>0</v>
      </c>
      <c r="C4" s="18">
        <v>0</v>
      </c>
      <c r="D4" s="113">
        <f t="shared" si="0"/>
        <v>0</v>
      </c>
      <c r="E4" s="99"/>
      <c r="F4" s="96">
        <v>28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4206</v>
      </c>
      <c r="B5" s="18">
        <v>0</v>
      </c>
      <c r="C5" s="18">
        <v>0</v>
      </c>
      <c r="D5" s="113">
        <f t="shared" si="0"/>
        <v>0</v>
      </c>
      <c r="E5" s="20"/>
      <c r="F5" s="96">
        <v>27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4207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4209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4210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4210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4073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4215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4175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4219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4224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4255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4265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4280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274140</v>
      </c>
      <c r="H28" s="18">
        <f>SUM(H2:H26)</f>
        <v>239063670</v>
      </c>
      <c r="I28" s="18">
        <f>SUM(I2:I26)</f>
        <v>-238789530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523229.74392646091</v>
      </c>
      <c r="I33" s="18">
        <f>G33*I28/G28</f>
        <v>-522629.74392646091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4332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4331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/>
      <c r="E41" s="54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/>
      <c r="E42" s="54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/>
      <c r="E44" s="54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/>
      <c r="E49" s="54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-51211358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0" activePane="bottomLeft" state="frozen"/>
      <selection pane="bottomLeft" activeCell="F225" sqref="F2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926</v>
      </c>
      <c r="H2" s="36">
        <f>IF(B2&gt;0,1,0)</f>
        <v>1</v>
      </c>
      <c r="I2" s="11">
        <f>B2*(G2-H2)</f>
        <v>15447500</v>
      </c>
      <c r="J2" s="53">
        <f>C2*(G2-H2)</f>
        <v>15447500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925</v>
      </c>
      <c r="H3" s="36">
        <f t="shared" ref="H3:H66" si="2">IF(B3&gt;0,1,0)</f>
        <v>1</v>
      </c>
      <c r="I3" s="11">
        <f t="shared" ref="I3:I66" si="3">B3*(G3-H3)</f>
        <v>18387600000</v>
      </c>
      <c r="J3" s="53">
        <f t="shared" ref="J3:J66" si="4">C3*(G3-H3)</f>
        <v>10521588000</v>
      </c>
      <c r="K3" s="53">
        <f t="shared" ref="K3:K66" si="5">D3*(G3-H3)</f>
        <v>7866012000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925</v>
      </c>
      <c r="H4" s="36">
        <f t="shared" si="2"/>
        <v>0</v>
      </c>
      <c r="I4" s="11">
        <f t="shared" si="3"/>
        <v>0</v>
      </c>
      <c r="J4" s="53">
        <f t="shared" si="4"/>
        <v>7862500</v>
      </c>
      <c r="K4" s="53">
        <f t="shared" si="5"/>
        <v>-7862500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923</v>
      </c>
      <c r="H5" s="36">
        <f t="shared" si="2"/>
        <v>1</v>
      </c>
      <c r="I5" s="11">
        <f t="shared" si="3"/>
        <v>1844000000</v>
      </c>
      <c r="J5" s="53">
        <f t="shared" si="4"/>
        <v>0</v>
      </c>
      <c r="K5" s="53">
        <f t="shared" si="5"/>
        <v>1844000000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916</v>
      </c>
      <c r="H6" s="36">
        <f t="shared" si="2"/>
        <v>0</v>
      </c>
      <c r="I6" s="11">
        <f t="shared" si="3"/>
        <v>-4580000</v>
      </c>
      <c r="J6" s="53">
        <f t="shared" si="4"/>
        <v>0</v>
      </c>
      <c r="K6" s="53">
        <f t="shared" si="5"/>
        <v>-4580000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912</v>
      </c>
      <c r="H7" s="36">
        <f t="shared" si="2"/>
        <v>0</v>
      </c>
      <c r="I7" s="11">
        <f t="shared" si="3"/>
        <v>-1094856000</v>
      </c>
      <c r="J7" s="53">
        <f t="shared" si="4"/>
        <v>0</v>
      </c>
      <c r="K7" s="53">
        <f t="shared" si="5"/>
        <v>-1094856000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911</v>
      </c>
      <c r="H8" s="36">
        <f t="shared" si="2"/>
        <v>0</v>
      </c>
      <c r="I8" s="11">
        <f t="shared" si="3"/>
        <v>-182200000</v>
      </c>
      <c r="J8" s="53">
        <f t="shared" si="4"/>
        <v>0</v>
      </c>
      <c r="K8" s="53">
        <f t="shared" si="5"/>
        <v>-182200000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909</v>
      </c>
      <c r="H9" s="36">
        <f t="shared" si="2"/>
        <v>0</v>
      </c>
      <c r="I9" s="11">
        <f t="shared" si="3"/>
        <v>-641299500</v>
      </c>
      <c r="J9" s="53">
        <f t="shared" si="4"/>
        <v>0</v>
      </c>
      <c r="K9" s="53">
        <f t="shared" si="5"/>
        <v>-641299500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900</v>
      </c>
      <c r="H10" s="36">
        <f t="shared" si="2"/>
        <v>0</v>
      </c>
      <c r="I10" s="11">
        <f t="shared" si="3"/>
        <v>-180000000</v>
      </c>
      <c r="J10" s="53">
        <f t="shared" si="4"/>
        <v>0</v>
      </c>
      <c r="K10" s="53">
        <f t="shared" si="5"/>
        <v>-180000000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900</v>
      </c>
      <c r="H11" s="36">
        <f t="shared" si="2"/>
        <v>1</v>
      </c>
      <c r="I11" s="11">
        <f t="shared" si="3"/>
        <v>899000000</v>
      </c>
      <c r="J11" s="53">
        <f t="shared" si="4"/>
        <v>0</v>
      </c>
      <c r="K11" s="53">
        <f t="shared" si="5"/>
        <v>899000000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896</v>
      </c>
      <c r="H12" s="36">
        <f t="shared" si="2"/>
        <v>0</v>
      </c>
      <c r="I12" s="11">
        <f t="shared" si="3"/>
        <v>-268800000</v>
      </c>
      <c r="J12" s="53">
        <f t="shared" si="4"/>
        <v>0</v>
      </c>
      <c r="K12" s="53">
        <f t="shared" si="5"/>
        <v>-268800000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891</v>
      </c>
      <c r="H13" s="36">
        <f t="shared" si="2"/>
        <v>0</v>
      </c>
      <c r="I13" s="11">
        <f t="shared" si="3"/>
        <v>-55242000</v>
      </c>
      <c r="J13" s="53">
        <f t="shared" si="4"/>
        <v>0</v>
      </c>
      <c r="K13" s="53">
        <f t="shared" si="5"/>
        <v>-55242000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891</v>
      </c>
      <c r="H14" s="36">
        <f t="shared" si="2"/>
        <v>1</v>
      </c>
      <c r="I14" s="11">
        <f t="shared" si="3"/>
        <v>1780000000</v>
      </c>
      <c r="J14" s="53">
        <f t="shared" si="4"/>
        <v>0</v>
      </c>
      <c r="K14" s="53">
        <f t="shared" si="5"/>
        <v>1780000000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890</v>
      </c>
      <c r="H15" s="36">
        <f t="shared" si="2"/>
        <v>1</v>
      </c>
      <c r="I15" s="11">
        <f t="shared" si="3"/>
        <v>1600200000</v>
      </c>
      <c r="J15" s="53">
        <f t="shared" si="4"/>
        <v>0</v>
      </c>
      <c r="K15" s="53">
        <f t="shared" si="5"/>
        <v>1600200000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890</v>
      </c>
      <c r="H16" s="36">
        <f t="shared" si="2"/>
        <v>0</v>
      </c>
      <c r="I16" s="11">
        <f t="shared" si="3"/>
        <v>-178000000</v>
      </c>
      <c r="J16" s="53">
        <f t="shared" si="4"/>
        <v>0</v>
      </c>
      <c r="K16" s="53">
        <f t="shared" si="5"/>
        <v>-178000000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886</v>
      </c>
      <c r="H17" s="36">
        <f t="shared" si="2"/>
        <v>0</v>
      </c>
      <c r="I17" s="11">
        <f t="shared" si="3"/>
        <v>-1772000000</v>
      </c>
      <c r="J17" s="53">
        <f t="shared" si="4"/>
        <v>0</v>
      </c>
      <c r="K17" s="53">
        <f t="shared" si="5"/>
        <v>-1772000000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885</v>
      </c>
      <c r="H18" s="36">
        <f t="shared" si="2"/>
        <v>0</v>
      </c>
      <c r="I18" s="11">
        <f t="shared" si="3"/>
        <v>-265500000</v>
      </c>
      <c r="J18" s="53">
        <f t="shared" si="4"/>
        <v>0</v>
      </c>
      <c r="K18" s="53">
        <f t="shared" si="5"/>
        <v>-265500000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884</v>
      </c>
      <c r="H19" s="36">
        <f t="shared" si="2"/>
        <v>0</v>
      </c>
      <c r="I19" s="11">
        <f t="shared" si="3"/>
        <v>-176800000</v>
      </c>
      <c r="J19" s="53">
        <f t="shared" si="4"/>
        <v>0</v>
      </c>
      <c r="K19" s="53">
        <f t="shared" si="5"/>
        <v>-176800000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882</v>
      </c>
      <c r="H20" s="36">
        <f t="shared" si="2"/>
        <v>1</v>
      </c>
      <c r="I20" s="11">
        <f t="shared" si="3"/>
        <v>238829409</v>
      </c>
      <c r="J20" s="53">
        <f t="shared" si="4"/>
        <v>129905212</v>
      </c>
      <c r="K20" s="53">
        <f t="shared" si="5"/>
        <v>108924197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880</v>
      </c>
      <c r="H21" s="36">
        <f t="shared" si="2"/>
        <v>0</v>
      </c>
      <c r="I21" s="11">
        <f t="shared" si="3"/>
        <v>-1325016000</v>
      </c>
      <c r="J21" s="53">
        <f t="shared" si="4"/>
        <v>0</v>
      </c>
      <c r="K21" s="53">
        <f t="shared" si="5"/>
        <v>-1325016000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877</v>
      </c>
      <c r="H22" s="36">
        <f t="shared" si="2"/>
        <v>1</v>
      </c>
      <c r="I22" s="11">
        <f t="shared" si="3"/>
        <v>2628000000</v>
      </c>
      <c r="J22" s="53">
        <f t="shared" si="4"/>
        <v>0</v>
      </c>
      <c r="K22" s="53">
        <f t="shared" si="5"/>
        <v>2628000000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876</v>
      </c>
      <c r="H23" s="36">
        <f t="shared" si="2"/>
        <v>1</v>
      </c>
      <c r="I23" s="11">
        <f t="shared" si="3"/>
        <v>875000000</v>
      </c>
      <c r="J23" s="53">
        <f t="shared" si="4"/>
        <v>0</v>
      </c>
      <c r="K23" s="53">
        <f t="shared" si="5"/>
        <v>875000000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875</v>
      </c>
      <c r="H24" s="36">
        <f t="shared" si="2"/>
        <v>0</v>
      </c>
      <c r="I24" s="11">
        <f t="shared" si="3"/>
        <v>-2625787500</v>
      </c>
      <c r="J24" s="53">
        <f t="shared" si="4"/>
        <v>0</v>
      </c>
      <c r="K24" s="53">
        <f t="shared" si="5"/>
        <v>-2625787500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860</v>
      </c>
      <c r="H25" s="36">
        <f t="shared" si="2"/>
        <v>1</v>
      </c>
      <c r="I25" s="11">
        <f t="shared" si="3"/>
        <v>1288500000</v>
      </c>
      <c r="J25" s="53">
        <f t="shared" si="4"/>
        <v>0</v>
      </c>
      <c r="K25" s="53">
        <f t="shared" si="5"/>
        <v>1288500000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852</v>
      </c>
      <c r="H26" s="36">
        <f t="shared" si="2"/>
        <v>0</v>
      </c>
      <c r="I26" s="11">
        <f t="shared" si="3"/>
        <v>-139728000</v>
      </c>
      <c r="J26" s="53">
        <f t="shared" si="4"/>
        <v>0</v>
      </c>
      <c r="K26" s="53">
        <f t="shared" si="5"/>
        <v>-139728000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851</v>
      </c>
      <c r="H27" s="36">
        <f t="shared" si="2"/>
        <v>1</v>
      </c>
      <c r="I27" s="11">
        <f t="shared" si="3"/>
        <v>169484050</v>
      </c>
      <c r="J27" s="53">
        <f t="shared" si="4"/>
        <v>91301050</v>
      </c>
      <c r="K27" s="53">
        <f t="shared" si="5"/>
        <v>78183000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849</v>
      </c>
      <c r="H28" s="36">
        <f t="shared" si="2"/>
        <v>0</v>
      </c>
      <c r="I28" s="11">
        <f t="shared" si="3"/>
        <v>-187629000</v>
      </c>
      <c r="J28" s="53">
        <f t="shared" si="4"/>
        <v>-187629000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849</v>
      </c>
      <c r="H29" s="36">
        <f t="shared" si="2"/>
        <v>0</v>
      </c>
      <c r="I29" s="11">
        <f t="shared" si="3"/>
        <v>-424924500</v>
      </c>
      <c r="J29" s="53">
        <f t="shared" si="4"/>
        <v>0</v>
      </c>
      <c r="K29" s="53">
        <f t="shared" si="5"/>
        <v>-424924500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849</v>
      </c>
      <c r="H30" s="36">
        <f t="shared" si="2"/>
        <v>0</v>
      </c>
      <c r="I30" s="11">
        <f t="shared" si="3"/>
        <v>-12735000000</v>
      </c>
      <c r="J30" s="53">
        <f t="shared" si="4"/>
        <v>-12735000000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832</v>
      </c>
      <c r="H31" s="36">
        <f t="shared" si="2"/>
        <v>0</v>
      </c>
      <c r="I31" s="11">
        <f t="shared" si="3"/>
        <v>-2505068800</v>
      </c>
      <c r="J31" s="53">
        <f t="shared" si="4"/>
        <v>0</v>
      </c>
      <c r="K31" s="53">
        <f t="shared" si="5"/>
        <v>-2505068800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830</v>
      </c>
      <c r="H32" s="36">
        <f t="shared" si="2"/>
        <v>0</v>
      </c>
      <c r="I32" s="11">
        <f t="shared" si="3"/>
        <v>-2494897000</v>
      </c>
      <c r="J32" s="53">
        <f t="shared" si="4"/>
        <v>0</v>
      </c>
      <c r="K32" s="53">
        <f t="shared" si="5"/>
        <v>-2494897000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829</v>
      </c>
      <c r="H33" s="36">
        <f t="shared" si="2"/>
        <v>0</v>
      </c>
      <c r="I33" s="11">
        <f t="shared" si="3"/>
        <v>-742369500</v>
      </c>
      <c r="J33" s="53">
        <f t="shared" si="4"/>
        <v>0</v>
      </c>
      <c r="K33" s="53">
        <f t="shared" si="5"/>
        <v>-742369500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829</v>
      </c>
      <c r="H34" s="36">
        <f t="shared" si="2"/>
        <v>0</v>
      </c>
      <c r="I34" s="11">
        <f t="shared" si="3"/>
        <v>0</v>
      </c>
      <c r="J34" s="53">
        <f t="shared" si="4"/>
        <v>829000000</v>
      </c>
      <c r="K34" s="53">
        <f t="shared" si="5"/>
        <v>-829000000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820</v>
      </c>
      <c r="H35" s="36">
        <f t="shared" si="2"/>
        <v>1</v>
      </c>
      <c r="I35" s="11">
        <f t="shared" si="3"/>
        <v>42974568</v>
      </c>
      <c r="J35" s="53">
        <f t="shared" si="4"/>
        <v>-17741997</v>
      </c>
      <c r="K35" s="53">
        <f t="shared" si="5"/>
        <v>60716565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820</v>
      </c>
      <c r="H36" s="36">
        <f t="shared" si="2"/>
        <v>0</v>
      </c>
      <c r="I36" s="11">
        <f t="shared" si="3"/>
        <v>0</v>
      </c>
      <c r="J36" s="53">
        <f t="shared" si="4"/>
        <v>17763660</v>
      </c>
      <c r="K36" s="53">
        <f t="shared" si="5"/>
        <v>-17763660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810</v>
      </c>
      <c r="H37" s="36">
        <f t="shared" si="2"/>
        <v>0</v>
      </c>
      <c r="I37" s="11">
        <f t="shared" si="3"/>
        <v>-44550000</v>
      </c>
      <c r="J37" s="53">
        <f t="shared" si="4"/>
        <v>0</v>
      </c>
      <c r="K37" s="53">
        <f t="shared" si="5"/>
        <v>-44550000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809</v>
      </c>
      <c r="H38" s="36">
        <f t="shared" si="2"/>
        <v>1</v>
      </c>
      <c r="I38" s="11">
        <f t="shared" si="3"/>
        <v>2424000000</v>
      </c>
      <c r="J38" s="53">
        <f t="shared" si="4"/>
        <v>2424000000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808</v>
      </c>
      <c r="H39" s="36">
        <f t="shared" si="2"/>
        <v>1</v>
      </c>
      <c r="I39" s="11">
        <f t="shared" si="3"/>
        <v>2017500000</v>
      </c>
      <c r="J39" s="53">
        <f t="shared" si="4"/>
        <v>2017500000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808</v>
      </c>
      <c r="H40" s="36">
        <f t="shared" si="2"/>
        <v>0</v>
      </c>
      <c r="I40" s="11">
        <f t="shared" si="3"/>
        <v>-40400000</v>
      </c>
      <c r="J40" s="53">
        <f t="shared" si="4"/>
        <v>0</v>
      </c>
      <c r="K40" s="53">
        <f t="shared" si="5"/>
        <v>-40400000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808</v>
      </c>
      <c r="H41" s="36">
        <f t="shared" si="2"/>
        <v>1</v>
      </c>
      <c r="I41" s="11">
        <f t="shared" si="3"/>
        <v>2421000000</v>
      </c>
      <c r="J41" s="53">
        <f t="shared" si="4"/>
        <v>0</v>
      </c>
      <c r="K41" s="53">
        <f t="shared" si="5"/>
        <v>2421000000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805</v>
      </c>
      <c r="H42" s="36">
        <f t="shared" si="2"/>
        <v>0</v>
      </c>
      <c r="I42" s="11">
        <f t="shared" si="3"/>
        <v>-71806000</v>
      </c>
      <c r="J42" s="53">
        <f t="shared" si="4"/>
        <v>0</v>
      </c>
      <c r="K42" s="53">
        <f t="shared" si="5"/>
        <v>-71806000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801</v>
      </c>
      <c r="H43" s="36">
        <f t="shared" si="2"/>
        <v>0</v>
      </c>
      <c r="I43" s="11">
        <f t="shared" si="3"/>
        <v>-160200000</v>
      </c>
      <c r="J43" s="53">
        <f t="shared" si="4"/>
        <v>0</v>
      </c>
      <c r="K43" s="53">
        <f t="shared" si="5"/>
        <v>-160200000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799</v>
      </c>
      <c r="H44" s="36">
        <f t="shared" si="2"/>
        <v>0</v>
      </c>
      <c r="I44" s="11">
        <f t="shared" si="3"/>
        <v>-159800000</v>
      </c>
      <c r="J44" s="53">
        <f t="shared" si="4"/>
        <v>0</v>
      </c>
      <c r="K44" s="53">
        <f t="shared" si="5"/>
        <v>-159800000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799</v>
      </c>
      <c r="H45" s="36">
        <f t="shared" si="2"/>
        <v>0</v>
      </c>
      <c r="I45" s="11">
        <f t="shared" si="3"/>
        <v>-447440000</v>
      </c>
      <c r="J45" s="53">
        <f t="shared" si="4"/>
        <v>0</v>
      </c>
      <c r="K45" s="53">
        <f t="shared" si="5"/>
        <v>-447440000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795</v>
      </c>
      <c r="H46" s="36">
        <f t="shared" si="2"/>
        <v>0</v>
      </c>
      <c r="I46" s="11">
        <f t="shared" si="3"/>
        <v>-560872500</v>
      </c>
      <c r="J46" s="53">
        <f t="shared" si="4"/>
        <v>0</v>
      </c>
      <c r="K46" s="53">
        <f t="shared" si="5"/>
        <v>-560872500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789</v>
      </c>
      <c r="H47" s="36">
        <f t="shared" si="2"/>
        <v>1</v>
      </c>
      <c r="I47" s="11">
        <f t="shared" si="3"/>
        <v>32468752</v>
      </c>
      <c r="J47" s="53">
        <f t="shared" si="4"/>
        <v>5289844</v>
      </c>
      <c r="K47" s="53">
        <f t="shared" si="5"/>
        <v>27178908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789</v>
      </c>
      <c r="H48" s="36">
        <f t="shared" si="2"/>
        <v>1</v>
      </c>
      <c r="I48" s="11">
        <f t="shared" si="3"/>
        <v>1343303600</v>
      </c>
      <c r="J48" s="53">
        <f t="shared" si="4"/>
        <v>0</v>
      </c>
      <c r="K48" s="53">
        <f t="shared" si="5"/>
        <v>1343303600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780</v>
      </c>
      <c r="H49" s="36">
        <f t="shared" si="2"/>
        <v>0</v>
      </c>
      <c r="I49" s="11">
        <f t="shared" si="3"/>
        <v>-120900000</v>
      </c>
      <c r="J49" s="53">
        <f t="shared" si="4"/>
        <v>0</v>
      </c>
      <c r="K49" s="53">
        <f t="shared" si="5"/>
        <v>-120900000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780</v>
      </c>
      <c r="H50" s="36">
        <f t="shared" si="2"/>
        <v>0</v>
      </c>
      <c r="I50" s="11">
        <f t="shared" si="3"/>
        <v>-107640000</v>
      </c>
      <c r="J50" s="53">
        <f t="shared" si="4"/>
        <v>0</v>
      </c>
      <c r="K50" s="53">
        <f t="shared" si="5"/>
        <v>-107640000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780</v>
      </c>
      <c r="H51" s="36">
        <f t="shared" si="2"/>
        <v>0</v>
      </c>
      <c r="I51" s="11">
        <f t="shared" si="3"/>
        <v>-577200000</v>
      </c>
      <c r="J51" s="53">
        <f t="shared" si="4"/>
        <v>0</v>
      </c>
      <c r="K51" s="53">
        <f t="shared" si="5"/>
        <v>-577200000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780</v>
      </c>
      <c r="H52" s="36">
        <f t="shared" si="2"/>
        <v>0</v>
      </c>
      <c r="I52" s="11">
        <f t="shared" si="3"/>
        <v>-156000000</v>
      </c>
      <c r="J52" s="53">
        <f t="shared" si="4"/>
        <v>0</v>
      </c>
      <c r="K52" s="53">
        <f t="shared" si="5"/>
        <v>-156000000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779</v>
      </c>
      <c r="H53" s="36">
        <f t="shared" si="2"/>
        <v>0</v>
      </c>
      <c r="I53" s="11">
        <f t="shared" si="3"/>
        <v>-821845000</v>
      </c>
      <c r="J53" s="53">
        <f t="shared" si="4"/>
        <v>0</v>
      </c>
      <c r="K53" s="53">
        <f t="shared" si="5"/>
        <v>-821845000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779</v>
      </c>
      <c r="H54" s="36">
        <f t="shared" si="2"/>
        <v>0</v>
      </c>
      <c r="I54" s="11">
        <f t="shared" si="3"/>
        <v>-155800000</v>
      </c>
      <c r="J54" s="53">
        <f t="shared" si="4"/>
        <v>0</v>
      </c>
      <c r="K54" s="53">
        <f t="shared" si="5"/>
        <v>-155800000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779</v>
      </c>
      <c r="H55" s="36">
        <f t="shared" si="2"/>
        <v>0</v>
      </c>
      <c r="I55" s="11">
        <f t="shared" si="3"/>
        <v>-779389500</v>
      </c>
      <c r="J55" s="53">
        <f t="shared" si="4"/>
        <v>0</v>
      </c>
      <c r="K55" s="53">
        <f t="shared" si="5"/>
        <v>-779389500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779</v>
      </c>
      <c r="H56" s="36">
        <f t="shared" si="2"/>
        <v>0</v>
      </c>
      <c r="I56" s="11">
        <f t="shared" si="3"/>
        <v>-29602000</v>
      </c>
      <c r="J56" s="53">
        <f t="shared" si="4"/>
        <v>0</v>
      </c>
      <c r="K56" s="53">
        <f t="shared" si="5"/>
        <v>-29602000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779</v>
      </c>
      <c r="H57" s="36">
        <f t="shared" si="2"/>
        <v>0</v>
      </c>
      <c r="I57" s="11">
        <f t="shared" si="3"/>
        <v>-81795000</v>
      </c>
      <c r="J57" s="53">
        <f t="shared" si="4"/>
        <v>0</v>
      </c>
      <c r="K57" s="53">
        <f t="shared" si="5"/>
        <v>-81795000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779</v>
      </c>
      <c r="H58" s="36">
        <f t="shared" si="2"/>
        <v>0</v>
      </c>
      <c r="I58" s="11">
        <f t="shared" si="3"/>
        <v>-46740000</v>
      </c>
      <c r="J58" s="53">
        <f t="shared" si="4"/>
        <v>0</v>
      </c>
      <c r="K58" s="53">
        <f t="shared" si="5"/>
        <v>-46740000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776</v>
      </c>
      <c r="H59" s="36">
        <f t="shared" si="2"/>
        <v>1</v>
      </c>
      <c r="I59" s="11">
        <f t="shared" si="3"/>
        <v>775000000</v>
      </c>
      <c r="J59" s="53">
        <f t="shared" si="4"/>
        <v>775000000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775</v>
      </c>
      <c r="H60" s="36">
        <f t="shared" si="2"/>
        <v>1</v>
      </c>
      <c r="I60" s="11">
        <f t="shared" si="3"/>
        <v>2709000000</v>
      </c>
      <c r="J60" s="53">
        <f t="shared" si="4"/>
        <v>2709000000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773</v>
      </c>
      <c r="H61" s="36">
        <f t="shared" si="2"/>
        <v>1</v>
      </c>
      <c r="I61" s="11">
        <f t="shared" si="3"/>
        <v>772000000</v>
      </c>
      <c r="J61" s="53">
        <f t="shared" si="4"/>
        <v>772000000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773</v>
      </c>
      <c r="H62" s="36">
        <f t="shared" si="2"/>
        <v>1</v>
      </c>
      <c r="I62" s="11">
        <f t="shared" si="3"/>
        <v>2316000000</v>
      </c>
      <c r="J62" s="53">
        <f t="shared" si="4"/>
        <v>2316000000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771</v>
      </c>
      <c r="H63" s="36">
        <f t="shared" si="2"/>
        <v>0</v>
      </c>
      <c r="I63" s="11">
        <f t="shared" si="3"/>
        <v>-154200000</v>
      </c>
      <c r="J63" s="53">
        <f t="shared" si="4"/>
        <v>0</v>
      </c>
      <c r="K63" s="53">
        <f t="shared" si="5"/>
        <v>-154200000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766</v>
      </c>
      <c r="H64" s="36">
        <f t="shared" si="2"/>
        <v>0</v>
      </c>
      <c r="I64" s="11">
        <f t="shared" si="3"/>
        <v>-38300000</v>
      </c>
      <c r="J64" s="53">
        <f t="shared" si="4"/>
        <v>0</v>
      </c>
      <c r="K64" s="53">
        <f t="shared" si="5"/>
        <v>-38300000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762</v>
      </c>
      <c r="H65" s="36">
        <f t="shared" si="2"/>
        <v>0</v>
      </c>
      <c r="I65" s="11">
        <f t="shared" si="3"/>
        <v>-152400000</v>
      </c>
      <c r="J65" s="53">
        <f t="shared" si="4"/>
        <v>0</v>
      </c>
      <c r="K65" s="53">
        <f t="shared" si="5"/>
        <v>-152400000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759</v>
      </c>
      <c r="H66" s="36">
        <f t="shared" si="2"/>
        <v>0</v>
      </c>
      <c r="I66" s="11">
        <f t="shared" si="3"/>
        <v>-129030000</v>
      </c>
      <c r="J66" s="53">
        <f t="shared" si="4"/>
        <v>0</v>
      </c>
      <c r="K66" s="53">
        <f t="shared" si="5"/>
        <v>-129030000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758</v>
      </c>
      <c r="H67" s="36">
        <f t="shared" ref="H67:H131" si="8">IF(B67&gt;0,1,0)</f>
        <v>1</v>
      </c>
      <c r="I67" s="11">
        <f t="shared" ref="I67:I119" si="9">B67*(G67-H67)</f>
        <v>69133025</v>
      </c>
      <c r="J67" s="53">
        <f t="shared" ref="J67:J131" si="10">C67*(G67-H67)</f>
        <v>49752311</v>
      </c>
      <c r="K67" s="53">
        <f t="shared" ref="K67:K131" si="11">D67*(G67-H67)</f>
        <v>19380714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740</v>
      </c>
      <c r="H68" s="36">
        <f t="shared" si="8"/>
        <v>0</v>
      </c>
      <c r="I68" s="11">
        <f t="shared" si="9"/>
        <v>-107300000</v>
      </c>
      <c r="J68" s="53">
        <f t="shared" si="10"/>
        <v>0</v>
      </c>
      <c r="K68" s="53">
        <f t="shared" si="11"/>
        <v>-107300000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733</v>
      </c>
      <c r="H69" s="36">
        <f t="shared" si="8"/>
        <v>1</v>
      </c>
      <c r="I69" s="11">
        <f t="shared" si="9"/>
        <v>717360000</v>
      </c>
      <c r="J69" s="53">
        <f t="shared" si="10"/>
        <v>0</v>
      </c>
      <c r="K69" s="53">
        <f t="shared" si="11"/>
        <v>717360000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730</v>
      </c>
      <c r="H70" s="36">
        <f t="shared" si="8"/>
        <v>0</v>
      </c>
      <c r="I70" s="11">
        <f t="shared" si="9"/>
        <v>-33580000</v>
      </c>
      <c r="J70" s="53">
        <f t="shared" si="10"/>
        <v>0</v>
      </c>
      <c r="K70" s="53">
        <f t="shared" si="11"/>
        <v>-33580000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728</v>
      </c>
      <c r="H71" s="36">
        <f t="shared" si="8"/>
        <v>1</v>
      </c>
      <c r="I71" s="11">
        <f t="shared" si="9"/>
        <v>83850726</v>
      </c>
      <c r="J71" s="53">
        <f t="shared" si="10"/>
        <v>75471324</v>
      </c>
      <c r="K71" s="53">
        <f t="shared" si="11"/>
        <v>8379402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727</v>
      </c>
      <c r="H72" s="36">
        <f t="shared" si="8"/>
        <v>0</v>
      </c>
      <c r="I72" s="11">
        <f t="shared" si="9"/>
        <v>-110481463</v>
      </c>
      <c r="J72" s="53">
        <f t="shared" si="10"/>
        <v>0</v>
      </c>
      <c r="K72" s="53">
        <f t="shared" si="11"/>
        <v>-110481463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726</v>
      </c>
      <c r="H73" s="36">
        <f t="shared" si="8"/>
        <v>0</v>
      </c>
      <c r="I73" s="11">
        <f t="shared" si="9"/>
        <v>-584793000</v>
      </c>
      <c r="J73" s="53">
        <f t="shared" si="10"/>
        <v>0</v>
      </c>
      <c r="K73" s="53">
        <f t="shared" si="11"/>
        <v>-584793000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719</v>
      </c>
      <c r="H74" s="36">
        <f t="shared" si="8"/>
        <v>1</v>
      </c>
      <c r="I74" s="11">
        <f t="shared" si="9"/>
        <v>5022410000</v>
      </c>
      <c r="J74" s="53">
        <f t="shared" si="10"/>
        <v>0</v>
      </c>
      <c r="K74" s="53">
        <f t="shared" si="11"/>
        <v>5022410000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718</v>
      </c>
      <c r="H75" s="36">
        <f t="shared" si="8"/>
        <v>1</v>
      </c>
      <c r="I75" s="11">
        <f t="shared" si="9"/>
        <v>2151000000</v>
      </c>
      <c r="J75" s="53">
        <f t="shared" si="10"/>
        <v>0</v>
      </c>
      <c r="K75" s="53">
        <f t="shared" si="11"/>
        <v>2151000000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716</v>
      </c>
      <c r="H76" s="36">
        <f t="shared" si="8"/>
        <v>1</v>
      </c>
      <c r="I76" s="11">
        <f t="shared" si="9"/>
        <v>2145000000</v>
      </c>
      <c r="J76" s="53">
        <f t="shared" si="10"/>
        <v>0</v>
      </c>
      <c r="K76" s="53">
        <f t="shared" si="11"/>
        <v>2145000000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715</v>
      </c>
      <c r="H77" s="36">
        <f t="shared" si="8"/>
        <v>1</v>
      </c>
      <c r="I77" s="11">
        <f t="shared" si="9"/>
        <v>2142000000</v>
      </c>
      <c r="J77" s="53">
        <f t="shared" si="10"/>
        <v>0</v>
      </c>
      <c r="K77" s="53">
        <f t="shared" si="11"/>
        <v>2142000000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714</v>
      </c>
      <c r="H78" s="36">
        <f t="shared" si="8"/>
        <v>0</v>
      </c>
      <c r="I78" s="11">
        <f t="shared" si="9"/>
        <v>-2284800000</v>
      </c>
      <c r="J78" s="53">
        <f t="shared" si="10"/>
        <v>-2284800000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713</v>
      </c>
      <c r="H79" s="36">
        <f t="shared" si="8"/>
        <v>0</v>
      </c>
      <c r="I79" s="11">
        <f t="shared" si="9"/>
        <v>-570400000</v>
      </c>
      <c r="J79" s="53">
        <f t="shared" si="10"/>
        <v>-570400000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712</v>
      </c>
      <c r="H80" s="36">
        <f t="shared" si="8"/>
        <v>0</v>
      </c>
      <c r="I80" s="11">
        <f t="shared" si="9"/>
        <v>-34455816</v>
      </c>
      <c r="J80" s="53">
        <f t="shared" si="10"/>
        <v>0</v>
      </c>
      <c r="K80" s="53">
        <f t="shared" si="11"/>
        <v>-34455816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711</v>
      </c>
      <c r="H81" s="36">
        <f t="shared" si="8"/>
        <v>0</v>
      </c>
      <c r="I81" s="11">
        <f t="shared" si="9"/>
        <v>-99540000</v>
      </c>
      <c r="J81" s="53">
        <f t="shared" si="10"/>
        <v>0</v>
      </c>
      <c r="K81" s="53">
        <f t="shared" si="11"/>
        <v>-99540000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710</v>
      </c>
      <c r="H82" s="36">
        <f t="shared" si="8"/>
        <v>0</v>
      </c>
      <c r="I82" s="11">
        <f t="shared" si="9"/>
        <v>-177500000</v>
      </c>
      <c r="J82" s="53">
        <f t="shared" si="10"/>
        <v>0</v>
      </c>
      <c r="K82" s="53">
        <f t="shared" si="11"/>
        <v>-177500000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709</v>
      </c>
      <c r="H83" s="36">
        <f t="shared" si="8"/>
        <v>0</v>
      </c>
      <c r="I83" s="11">
        <f t="shared" si="9"/>
        <v>-141800000</v>
      </c>
      <c r="J83" s="53">
        <f t="shared" si="10"/>
        <v>0</v>
      </c>
      <c r="K83" s="53">
        <f t="shared" si="11"/>
        <v>-141800000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706</v>
      </c>
      <c r="H84" s="36">
        <f t="shared" si="8"/>
        <v>1</v>
      </c>
      <c r="I84" s="11">
        <f t="shared" si="9"/>
        <v>1152816000</v>
      </c>
      <c r="J84" s="53">
        <f t="shared" si="10"/>
        <v>0</v>
      </c>
      <c r="K84" s="53">
        <f t="shared" si="11"/>
        <v>1152816000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702</v>
      </c>
      <c r="H85" s="36">
        <f t="shared" si="8"/>
        <v>1</v>
      </c>
      <c r="I85" s="11">
        <f t="shared" si="9"/>
        <v>1752500000</v>
      </c>
      <c r="J85" s="53">
        <f t="shared" si="10"/>
        <v>0</v>
      </c>
      <c r="K85" s="53">
        <f t="shared" si="11"/>
        <v>1752500000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698</v>
      </c>
      <c r="H86" s="36">
        <f t="shared" si="8"/>
        <v>1</v>
      </c>
      <c r="I86" s="11">
        <f t="shared" si="9"/>
        <v>129851100</v>
      </c>
      <c r="J86" s="53">
        <f t="shared" si="10"/>
        <v>59210150</v>
      </c>
      <c r="K86" s="53">
        <f t="shared" si="11"/>
        <v>70640950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695</v>
      </c>
      <c r="H87" s="36">
        <f t="shared" si="8"/>
        <v>0</v>
      </c>
      <c r="I87" s="11">
        <f t="shared" si="9"/>
        <v>-139000000</v>
      </c>
      <c r="J87" s="53">
        <f t="shared" si="10"/>
        <v>0</v>
      </c>
      <c r="K87" s="53">
        <f t="shared" si="11"/>
        <v>-139000000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694</v>
      </c>
      <c r="H88" s="36">
        <f t="shared" si="8"/>
        <v>0</v>
      </c>
      <c r="I88" s="11">
        <f t="shared" si="9"/>
        <v>-81892000</v>
      </c>
      <c r="J88" s="53">
        <f t="shared" si="10"/>
        <v>-47886000</v>
      </c>
      <c r="K88" s="53">
        <f t="shared" si="11"/>
        <v>-34006000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686</v>
      </c>
      <c r="H89" s="36">
        <f t="shared" si="8"/>
        <v>0</v>
      </c>
      <c r="I89" s="11">
        <f t="shared" si="9"/>
        <v>-2195817400</v>
      </c>
      <c r="J89" s="53">
        <f t="shared" si="10"/>
        <v>0</v>
      </c>
      <c r="K89" s="53">
        <f t="shared" si="11"/>
        <v>-2195817400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685</v>
      </c>
      <c r="H90" s="36">
        <f t="shared" si="8"/>
        <v>0</v>
      </c>
      <c r="I90" s="11">
        <f t="shared" si="9"/>
        <v>-2192616500</v>
      </c>
      <c r="J90" s="53">
        <f t="shared" si="10"/>
        <v>0</v>
      </c>
      <c r="K90" s="53">
        <f t="shared" si="11"/>
        <v>-2192616500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684</v>
      </c>
      <c r="H91" s="36">
        <f t="shared" si="8"/>
        <v>0</v>
      </c>
      <c r="I91" s="11">
        <f t="shared" si="9"/>
        <v>-2189415600</v>
      </c>
      <c r="J91" s="53">
        <f t="shared" si="10"/>
        <v>0</v>
      </c>
      <c r="K91" s="53">
        <f t="shared" si="11"/>
        <v>-2189415600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683</v>
      </c>
      <c r="H92" s="36">
        <f t="shared" si="8"/>
        <v>0</v>
      </c>
      <c r="I92" s="11">
        <f t="shared" si="9"/>
        <v>-2186214700</v>
      </c>
      <c r="J92" s="53">
        <f t="shared" si="10"/>
        <v>0</v>
      </c>
      <c r="K92" s="53">
        <f t="shared" si="11"/>
        <v>-2186214700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682</v>
      </c>
      <c r="H93" s="36">
        <f t="shared" si="8"/>
        <v>0</v>
      </c>
      <c r="I93" s="11">
        <f t="shared" si="9"/>
        <v>-2183013800</v>
      </c>
      <c r="J93" s="53">
        <f t="shared" si="10"/>
        <v>0</v>
      </c>
      <c r="K93" s="53">
        <f t="shared" si="11"/>
        <v>-2183013800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681</v>
      </c>
      <c r="H94" s="36">
        <f t="shared" si="8"/>
        <v>0</v>
      </c>
      <c r="I94" s="11">
        <f t="shared" si="9"/>
        <v>-2179812900</v>
      </c>
      <c r="J94" s="53">
        <f t="shared" si="10"/>
        <v>0</v>
      </c>
      <c r="K94" s="53">
        <f t="shared" si="11"/>
        <v>-2179812900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679</v>
      </c>
      <c r="H95" s="36">
        <f t="shared" si="8"/>
        <v>0</v>
      </c>
      <c r="I95" s="11">
        <f t="shared" si="9"/>
        <v>-812488684</v>
      </c>
      <c r="J95" s="53">
        <f t="shared" si="10"/>
        <v>0</v>
      </c>
      <c r="K95" s="53">
        <f t="shared" si="11"/>
        <v>-812488684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669</v>
      </c>
      <c r="H96" s="36">
        <f t="shared" si="8"/>
        <v>0</v>
      </c>
      <c r="I96" s="11">
        <f t="shared" si="9"/>
        <v>-133800000</v>
      </c>
      <c r="J96" s="53">
        <f t="shared" si="10"/>
        <v>0</v>
      </c>
      <c r="K96" s="53">
        <f t="shared" si="11"/>
        <v>-133800000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668</v>
      </c>
      <c r="H97" s="36">
        <f t="shared" si="8"/>
        <v>1</v>
      </c>
      <c r="I97" s="11">
        <f t="shared" si="9"/>
        <v>106425186</v>
      </c>
      <c r="J97" s="53">
        <f t="shared" si="10"/>
        <v>45973642</v>
      </c>
      <c r="K97" s="53">
        <f t="shared" si="11"/>
        <v>60451544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663</v>
      </c>
      <c r="H98" s="36">
        <f t="shared" si="8"/>
        <v>1</v>
      </c>
      <c r="I98" s="11">
        <f t="shared" si="9"/>
        <v>75711616</v>
      </c>
      <c r="J98" s="53">
        <f t="shared" si="10"/>
        <v>0</v>
      </c>
      <c r="K98" s="53">
        <f t="shared" si="11"/>
        <v>75711616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660</v>
      </c>
      <c r="H99" s="36">
        <f t="shared" si="8"/>
        <v>0</v>
      </c>
      <c r="I99" s="11">
        <f t="shared" si="9"/>
        <v>-874500000</v>
      </c>
      <c r="J99" s="53">
        <f t="shared" si="10"/>
        <v>0</v>
      </c>
      <c r="K99" s="53">
        <f t="shared" si="11"/>
        <v>-874500000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655</v>
      </c>
      <c r="H100" s="36">
        <f t="shared" si="8"/>
        <v>1</v>
      </c>
      <c r="I100" s="11">
        <f t="shared" si="9"/>
        <v>866550000</v>
      </c>
      <c r="J100" s="53">
        <f t="shared" si="10"/>
        <v>0</v>
      </c>
      <c r="K100" s="53">
        <f t="shared" si="11"/>
        <v>866550000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638</v>
      </c>
      <c r="H101" s="36">
        <f t="shared" si="8"/>
        <v>1</v>
      </c>
      <c r="I101" s="11">
        <f t="shared" si="9"/>
        <v>42580265</v>
      </c>
      <c r="J101" s="53">
        <f t="shared" si="10"/>
        <v>42580265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635</v>
      </c>
      <c r="H102" s="36">
        <f t="shared" si="8"/>
        <v>1</v>
      </c>
      <c r="I102" s="11">
        <f t="shared" si="9"/>
        <v>1902000000</v>
      </c>
      <c r="J102" s="53">
        <f t="shared" si="10"/>
        <v>0</v>
      </c>
      <c r="K102" s="53">
        <f t="shared" si="11"/>
        <v>1902000000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628</v>
      </c>
      <c r="H103" s="36">
        <f t="shared" si="8"/>
        <v>0</v>
      </c>
      <c r="I103" s="11">
        <f t="shared" si="9"/>
        <v>-628000000</v>
      </c>
      <c r="J103" s="53">
        <f t="shared" si="10"/>
        <v>-628000000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618</v>
      </c>
      <c r="H104" s="36">
        <f t="shared" si="8"/>
        <v>1</v>
      </c>
      <c r="I104" s="11">
        <f t="shared" si="9"/>
        <v>1851000000</v>
      </c>
      <c r="J104" s="53">
        <f t="shared" si="10"/>
        <v>1851000000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617</v>
      </c>
      <c r="H105" s="36">
        <f t="shared" si="8"/>
        <v>1</v>
      </c>
      <c r="I105" s="11">
        <f t="shared" si="9"/>
        <v>689920000</v>
      </c>
      <c r="J105" s="53">
        <f t="shared" si="10"/>
        <v>689920000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617</v>
      </c>
      <c r="H106" s="36">
        <f t="shared" si="8"/>
        <v>0</v>
      </c>
      <c r="I106" s="11">
        <f t="shared" si="9"/>
        <v>-1851000000</v>
      </c>
      <c r="J106" s="53">
        <f t="shared" si="10"/>
        <v>0</v>
      </c>
      <c r="K106" s="53">
        <f t="shared" si="11"/>
        <v>-1851000000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608</v>
      </c>
      <c r="H107" s="36">
        <f t="shared" si="8"/>
        <v>1</v>
      </c>
      <c r="I107" s="11">
        <f t="shared" si="9"/>
        <v>54929858</v>
      </c>
      <c r="J107" s="53">
        <f t="shared" si="10"/>
        <v>45594805</v>
      </c>
      <c r="K107" s="53">
        <f t="shared" si="11"/>
        <v>9335053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606</v>
      </c>
      <c r="H108" s="36">
        <f t="shared" si="8"/>
        <v>0</v>
      </c>
      <c r="I108" s="11">
        <f t="shared" si="9"/>
        <v>-1030624200</v>
      </c>
      <c r="J108" s="53">
        <f t="shared" si="10"/>
        <v>0</v>
      </c>
      <c r="K108" s="53">
        <f t="shared" si="11"/>
        <v>-1030624200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602</v>
      </c>
      <c r="H109" s="36">
        <f t="shared" si="8"/>
        <v>0</v>
      </c>
      <c r="I109" s="11">
        <f t="shared" si="9"/>
        <v>-602301000</v>
      </c>
      <c r="J109" s="53">
        <f t="shared" si="10"/>
        <v>0</v>
      </c>
      <c r="K109" s="53">
        <f t="shared" si="11"/>
        <v>-602301000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599</v>
      </c>
      <c r="H110" s="36">
        <f t="shared" si="8"/>
        <v>1</v>
      </c>
      <c r="I110" s="11">
        <f t="shared" si="9"/>
        <v>11960000000</v>
      </c>
      <c r="J110" s="53">
        <f t="shared" si="10"/>
        <v>0</v>
      </c>
      <c r="K110" s="53">
        <f t="shared" si="11"/>
        <v>11960000000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579</v>
      </c>
      <c r="H111" s="36">
        <f t="shared" si="8"/>
        <v>1</v>
      </c>
      <c r="I111" s="11">
        <f t="shared" si="9"/>
        <v>100963884</v>
      </c>
      <c r="J111" s="53">
        <f t="shared" si="10"/>
        <v>50495814</v>
      </c>
      <c r="K111" s="53">
        <f t="shared" si="11"/>
        <v>50468070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563</v>
      </c>
      <c r="H112" s="36">
        <f t="shared" si="8"/>
        <v>0</v>
      </c>
      <c r="I112" s="11">
        <f t="shared" si="9"/>
        <v>-15989200000</v>
      </c>
      <c r="J112" s="53">
        <f t="shared" si="10"/>
        <v>0</v>
      </c>
      <c r="K112" s="53">
        <f t="shared" si="11"/>
        <v>-15989200000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548</v>
      </c>
      <c r="H113" s="36">
        <f t="shared" si="8"/>
        <v>1</v>
      </c>
      <c r="I113" s="11">
        <f t="shared" si="9"/>
        <v>89182880</v>
      </c>
      <c r="J113" s="53">
        <f t="shared" si="10"/>
        <v>67013517</v>
      </c>
      <c r="K113" s="53">
        <f t="shared" si="11"/>
        <v>22169363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548</v>
      </c>
      <c r="H114" s="36">
        <f t="shared" si="8"/>
        <v>0</v>
      </c>
      <c r="I114" s="11">
        <f t="shared" si="9"/>
        <v>-3123600</v>
      </c>
      <c r="J114" s="53">
        <f t="shared" si="10"/>
        <v>-1370000</v>
      </c>
      <c r="K114" s="53">
        <f t="shared" si="11"/>
        <v>-1753600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535</v>
      </c>
      <c r="H115" s="36">
        <f t="shared" si="8"/>
        <v>0</v>
      </c>
      <c r="I115" s="11">
        <f t="shared" si="9"/>
        <v>0</v>
      </c>
      <c r="J115" s="53">
        <f t="shared" si="10"/>
        <v>267500000</v>
      </c>
      <c r="K115" s="53">
        <f t="shared" si="11"/>
        <v>-267500000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527</v>
      </c>
      <c r="H116" s="36">
        <f t="shared" si="8"/>
        <v>0</v>
      </c>
      <c r="I116" s="11">
        <f t="shared" si="9"/>
        <v>-84320000</v>
      </c>
      <c r="J116" s="53">
        <f t="shared" si="10"/>
        <v>0</v>
      </c>
      <c r="K116" s="53">
        <f t="shared" si="11"/>
        <v>-84320000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518</v>
      </c>
      <c r="H117" s="36">
        <f t="shared" si="8"/>
        <v>1</v>
      </c>
      <c r="I117" s="11">
        <f t="shared" si="9"/>
        <v>765160</v>
      </c>
      <c r="J117" s="53">
        <f t="shared" si="10"/>
        <v>55288497</v>
      </c>
      <c r="K117" s="53">
        <f t="shared" si="11"/>
        <v>-54523337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496</v>
      </c>
      <c r="H118" s="36">
        <f t="shared" si="8"/>
        <v>1</v>
      </c>
      <c r="I118" s="11">
        <f t="shared" si="9"/>
        <v>19502752500</v>
      </c>
      <c r="J118" s="53">
        <f t="shared" si="10"/>
        <v>0</v>
      </c>
      <c r="K118" s="53">
        <f t="shared" si="11"/>
        <v>19502752500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487</v>
      </c>
      <c r="H119" s="36">
        <f t="shared" si="8"/>
        <v>1</v>
      </c>
      <c r="I119" s="11">
        <f t="shared" si="9"/>
        <v>46423206</v>
      </c>
      <c r="J119" s="53">
        <f t="shared" si="10"/>
        <v>53486244</v>
      </c>
      <c r="K119" s="53">
        <f t="shared" si="11"/>
        <v>-7063038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483</v>
      </c>
      <c r="H120" s="11">
        <f t="shared" si="8"/>
        <v>1</v>
      </c>
      <c r="I120" s="11">
        <f t="shared" ref="I120:I266" si="13">B120*(G120-H120)</f>
        <v>964000000</v>
      </c>
      <c r="J120" s="11">
        <f t="shared" si="10"/>
        <v>0</v>
      </c>
      <c r="K120" s="11">
        <f t="shared" si="11"/>
        <v>964000000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457</v>
      </c>
      <c r="H121" s="11">
        <f t="shared" si="8"/>
        <v>1</v>
      </c>
      <c r="I121" s="11">
        <f t="shared" si="13"/>
        <v>1185600000</v>
      </c>
      <c r="J121" s="11">
        <f t="shared" si="10"/>
        <v>0</v>
      </c>
      <c r="K121" s="11">
        <f t="shared" si="11"/>
        <v>1185600000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456</v>
      </c>
      <c r="H122" s="11">
        <f t="shared" si="8"/>
        <v>1</v>
      </c>
      <c r="I122" s="11">
        <f t="shared" si="13"/>
        <v>174970705</v>
      </c>
      <c r="J122" s="11">
        <f t="shared" si="10"/>
        <v>50463140</v>
      </c>
      <c r="K122" s="11">
        <f t="shared" si="11"/>
        <v>124507565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455</v>
      </c>
      <c r="H123" s="11">
        <f t="shared" si="8"/>
        <v>0</v>
      </c>
      <c r="I123" s="11">
        <f t="shared" si="13"/>
        <v>0</v>
      </c>
      <c r="J123" s="11">
        <f t="shared" si="10"/>
        <v>364000000</v>
      </c>
      <c r="K123" s="11">
        <f t="shared" si="11"/>
        <v>-364000000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441</v>
      </c>
      <c r="H124" s="11">
        <f t="shared" si="8"/>
        <v>0</v>
      </c>
      <c r="I124" s="11">
        <f t="shared" si="13"/>
        <v>-1323000000</v>
      </c>
      <c r="J124" s="11">
        <f t="shared" si="10"/>
        <v>0</v>
      </c>
      <c r="K124" s="11">
        <f t="shared" si="11"/>
        <v>-1323000000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426</v>
      </c>
      <c r="H125" s="11">
        <f t="shared" si="8"/>
        <v>1</v>
      </c>
      <c r="I125" s="11">
        <f t="shared" si="13"/>
        <v>170301750</v>
      </c>
      <c r="J125" s="11">
        <f t="shared" si="10"/>
        <v>50521875</v>
      </c>
      <c r="K125" s="11">
        <f t="shared" si="11"/>
        <v>119779875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426</v>
      </c>
      <c r="H126" s="11">
        <f t="shared" si="8"/>
        <v>1</v>
      </c>
      <c r="I126" s="11">
        <f t="shared" si="13"/>
        <v>17850000000</v>
      </c>
      <c r="J126" s="11">
        <f t="shared" si="10"/>
        <v>0</v>
      </c>
      <c r="K126" s="11">
        <f t="shared" si="11"/>
        <v>17850000000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401</v>
      </c>
      <c r="H127" s="11">
        <f t="shared" si="8"/>
        <v>0</v>
      </c>
      <c r="I127" s="11">
        <f t="shared" si="13"/>
        <v>-2005000</v>
      </c>
      <c r="J127" s="11">
        <f t="shared" si="10"/>
        <v>0</v>
      </c>
      <c r="K127" s="11">
        <f t="shared" si="11"/>
        <v>-2005000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395</v>
      </c>
      <c r="H128" s="11">
        <f t="shared" si="8"/>
        <v>1</v>
      </c>
      <c r="I128" s="11">
        <f t="shared" si="13"/>
        <v>303921356</v>
      </c>
      <c r="J128" s="11">
        <f t="shared" si="10"/>
        <v>47554618</v>
      </c>
      <c r="K128" s="11">
        <f t="shared" si="11"/>
        <v>256366738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392</v>
      </c>
      <c r="H129" s="11">
        <f t="shared" si="8"/>
        <v>1</v>
      </c>
      <c r="I129" s="11">
        <f t="shared" si="13"/>
        <v>977500000</v>
      </c>
      <c r="J129" s="11">
        <f t="shared" si="10"/>
        <v>0</v>
      </c>
      <c r="K129" s="11">
        <f t="shared" si="11"/>
        <v>977500000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378</v>
      </c>
      <c r="H130" s="11">
        <f t="shared" si="8"/>
        <v>0</v>
      </c>
      <c r="I130" s="11">
        <f t="shared" si="13"/>
        <v>-378000000</v>
      </c>
      <c r="J130" s="11">
        <f t="shared" si="10"/>
        <v>-378000000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373</v>
      </c>
      <c r="H131" s="11">
        <f t="shared" si="8"/>
        <v>0</v>
      </c>
      <c r="I131" s="11">
        <f t="shared" si="13"/>
        <v>-18650000000</v>
      </c>
      <c r="J131" s="11">
        <f t="shared" si="10"/>
        <v>0</v>
      </c>
      <c r="K131" s="11">
        <f t="shared" si="11"/>
        <v>-18650000000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365</v>
      </c>
      <c r="H132" s="11">
        <f t="shared" ref="H132:H266" si="15">IF(B132&gt;0,1,0)</f>
        <v>1</v>
      </c>
      <c r="I132" s="11">
        <f t="shared" si="13"/>
        <v>223600468</v>
      </c>
      <c r="J132" s="11">
        <f t="shared" ref="J132:J206" si="16">C132*(G132-H132)</f>
        <v>38573444</v>
      </c>
      <c r="K132" s="11">
        <f t="shared" ref="K132:K266" si="17">D132*(G132-H132)</f>
        <v>185027024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361</v>
      </c>
      <c r="H133" s="11">
        <f t="shared" si="15"/>
        <v>0</v>
      </c>
      <c r="I133" s="11">
        <f t="shared" si="13"/>
        <v>-437062700</v>
      </c>
      <c r="J133" s="11">
        <f t="shared" si="16"/>
        <v>0</v>
      </c>
      <c r="K133" s="11">
        <f t="shared" si="17"/>
        <v>-437062700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352</v>
      </c>
      <c r="H134" s="11">
        <f t="shared" si="15"/>
        <v>0</v>
      </c>
      <c r="I134" s="11">
        <f t="shared" si="13"/>
        <v>-22880000</v>
      </c>
      <c r="J134" s="11">
        <f t="shared" si="16"/>
        <v>0</v>
      </c>
      <c r="K134" s="11">
        <f t="shared" si="17"/>
        <v>-22880000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352</v>
      </c>
      <c r="H135" s="11">
        <f t="shared" si="15"/>
        <v>0</v>
      </c>
      <c r="I135" s="11">
        <f t="shared" si="13"/>
        <v>-11369600</v>
      </c>
      <c r="J135" s="11">
        <f t="shared" si="16"/>
        <v>0</v>
      </c>
      <c r="K135" s="11">
        <f t="shared" si="17"/>
        <v>-11369600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344</v>
      </c>
      <c r="H136" s="11">
        <f t="shared" si="15"/>
        <v>0</v>
      </c>
      <c r="I136" s="11">
        <f t="shared" si="13"/>
        <v>-344000000</v>
      </c>
      <c r="J136" s="11">
        <f t="shared" si="16"/>
        <v>-344000000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335</v>
      </c>
      <c r="H137" s="11">
        <f t="shared" si="15"/>
        <v>1</v>
      </c>
      <c r="I137" s="11">
        <f t="shared" si="13"/>
        <v>97151582</v>
      </c>
      <c r="J137" s="11">
        <f t="shared" si="16"/>
        <v>32517906</v>
      </c>
      <c r="K137" s="11">
        <f t="shared" si="17"/>
        <v>64633676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318</v>
      </c>
      <c r="H138" s="11">
        <f t="shared" si="15"/>
        <v>0</v>
      </c>
      <c r="I138" s="11">
        <f t="shared" si="13"/>
        <v>-318159000</v>
      </c>
      <c r="J138" s="11">
        <f t="shared" si="16"/>
        <v>-318159000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306</v>
      </c>
      <c r="H139" s="11">
        <f t="shared" si="15"/>
        <v>1</v>
      </c>
      <c r="I139" s="11">
        <f t="shared" si="13"/>
        <v>86083200</v>
      </c>
      <c r="J139" s="11">
        <f t="shared" si="16"/>
        <v>27086135</v>
      </c>
      <c r="K139" s="11">
        <f t="shared" si="17"/>
        <v>58997065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303</v>
      </c>
      <c r="H140" s="11">
        <f t="shared" si="15"/>
        <v>1</v>
      </c>
      <c r="I140" s="11">
        <f t="shared" si="13"/>
        <v>453000000</v>
      </c>
      <c r="J140" s="11">
        <f t="shared" si="16"/>
        <v>0</v>
      </c>
      <c r="K140" s="11">
        <f t="shared" si="17"/>
        <v>453000000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290</v>
      </c>
      <c r="H141" s="11">
        <f t="shared" si="15"/>
        <v>0</v>
      </c>
      <c r="I141" s="11">
        <f t="shared" si="13"/>
        <v>0</v>
      </c>
      <c r="J141" s="11">
        <f t="shared" si="16"/>
        <v>-290000000</v>
      </c>
      <c r="K141" s="11">
        <f t="shared" si="17"/>
        <v>290000000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276</v>
      </c>
      <c r="H142" s="11">
        <f t="shared" si="15"/>
        <v>1</v>
      </c>
      <c r="I142" s="11">
        <f t="shared" si="13"/>
        <v>79995575</v>
      </c>
      <c r="J142" s="11">
        <f t="shared" si="16"/>
        <v>22281050</v>
      </c>
      <c r="K142" s="11">
        <f t="shared" si="17"/>
        <v>57714525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256</v>
      </c>
      <c r="H143" s="11">
        <f t="shared" si="15"/>
        <v>0</v>
      </c>
      <c r="I143" s="11">
        <f t="shared" si="13"/>
        <v>0</v>
      </c>
      <c r="J143" s="11">
        <f t="shared" si="16"/>
        <v>-256000000</v>
      </c>
      <c r="K143" s="11">
        <f t="shared" si="17"/>
        <v>256000000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246</v>
      </c>
      <c r="H144" s="11">
        <f t="shared" si="15"/>
        <v>1</v>
      </c>
      <c r="I144" s="11">
        <f t="shared" si="13"/>
        <v>72238740</v>
      </c>
      <c r="J144" s="11">
        <f t="shared" si="16"/>
        <v>18290965</v>
      </c>
      <c r="K144" s="11">
        <f t="shared" si="17"/>
        <v>53947775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231</v>
      </c>
      <c r="H145" s="11">
        <f t="shared" si="15"/>
        <v>0</v>
      </c>
      <c r="I145" s="11">
        <f t="shared" si="13"/>
        <v>-2310000</v>
      </c>
      <c r="J145" s="11">
        <f t="shared" si="16"/>
        <v>-1155000</v>
      </c>
      <c r="K145" s="11">
        <f t="shared" si="17"/>
        <v>-1155000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226</v>
      </c>
      <c r="H146" s="11">
        <f t="shared" si="15"/>
        <v>0</v>
      </c>
      <c r="I146" s="11">
        <f t="shared" si="13"/>
        <v>-226113000</v>
      </c>
      <c r="J146" s="11">
        <f t="shared" si="16"/>
        <v>-226113000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220</v>
      </c>
      <c r="H147" s="11">
        <f t="shared" si="15"/>
        <v>0</v>
      </c>
      <c r="I147" s="11">
        <f t="shared" si="13"/>
        <v>-5940000000</v>
      </c>
      <c r="J147" s="11">
        <f t="shared" si="16"/>
        <v>0</v>
      </c>
      <c r="K147" s="11">
        <f t="shared" si="17"/>
        <v>-5940000000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217</v>
      </c>
      <c r="H148" s="11">
        <f t="shared" si="15"/>
        <v>1</v>
      </c>
      <c r="I148" s="11">
        <f t="shared" si="13"/>
        <v>54526176</v>
      </c>
      <c r="J148" s="11">
        <f t="shared" si="16"/>
        <v>14150160</v>
      </c>
      <c r="K148" s="11">
        <f t="shared" si="17"/>
        <v>40376016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209</v>
      </c>
      <c r="H149" s="11">
        <f t="shared" si="15"/>
        <v>1</v>
      </c>
      <c r="I149" s="11">
        <f t="shared" si="13"/>
        <v>10899200000</v>
      </c>
      <c r="J149" s="11">
        <f t="shared" si="16"/>
        <v>0</v>
      </c>
      <c r="K149" s="11">
        <f t="shared" si="17"/>
        <v>10899200000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202</v>
      </c>
      <c r="H150" s="11">
        <f t="shared" si="15"/>
        <v>0</v>
      </c>
      <c r="I150" s="11">
        <f t="shared" si="13"/>
        <v>-10504000000</v>
      </c>
      <c r="J150" s="11">
        <f t="shared" si="16"/>
        <v>0</v>
      </c>
      <c r="K150" s="11">
        <f t="shared" si="17"/>
        <v>-10504000000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197</v>
      </c>
      <c r="H151" s="99">
        <f t="shared" si="15"/>
        <v>0</v>
      </c>
      <c r="I151" s="99">
        <f t="shared" si="13"/>
        <v>-1576000000</v>
      </c>
      <c r="J151" s="99">
        <f t="shared" si="16"/>
        <v>-1334109807</v>
      </c>
      <c r="K151" s="11">
        <f t="shared" si="17"/>
        <v>-241890193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197</v>
      </c>
      <c r="H152" s="99">
        <f t="shared" si="15"/>
        <v>0</v>
      </c>
      <c r="I152" s="99">
        <f t="shared" si="13"/>
        <v>-6152310</v>
      </c>
      <c r="J152" s="99">
        <f t="shared" si="16"/>
        <v>0</v>
      </c>
      <c r="K152" s="99">
        <f t="shared" si="17"/>
        <v>-6152310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186</v>
      </c>
      <c r="H153" s="99">
        <f t="shared" si="15"/>
        <v>1</v>
      </c>
      <c r="I153" s="99">
        <f t="shared" si="13"/>
        <v>24991095</v>
      </c>
      <c r="J153" s="99">
        <f t="shared" si="16"/>
        <v>7609050</v>
      </c>
      <c r="K153" s="99">
        <f t="shared" si="17"/>
        <v>17382045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183</v>
      </c>
      <c r="H154" s="99">
        <f t="shared" si="15"/>
        <v>1</v>
      </c>
      <c r="I154" s="99">
        <f t="shared" si="13"/>
        <v>1241982924</v>
      </c>
      <c r="J154" s="99">
        <f t="shared" si="16"/>
        <v>1241982924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178</v>
      </c>
      <c r="H155" s="99">
        <f t="shared" si="15"/>
        <v>0</v>
      </c>
      <c r="I155" s="99">
        <f t="shared" si="13"/>
        <v>-35600000</v>
      </c>
      <c r="J155" s="99">
        <f t="shared" si="16"/>
        <v>0</v>
      </c>
      <c r="K155" s="99">
        <f t="shared" si="17"/>
        <v>-35600000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178</v>
      </c>
      <c r="H156" s="99">
        <f t="shared" si="15"/>
        <v>0</v>
      </c>
      <c r="I156" s="99">
        <f t="shared" si="13"/>
        <v>-44115520</v>
      </c>
      <c r="J156" s="99">
        <f t="shared" si="16"/>
        <v>0</v>
      </c>
      <c r="K156" s="99">
        <f t="shared" si="17"/>
        <v>-44115520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177</v>
      </c>
      <c r="H157" s="99">
        <f t="shared" si="15"/>
        <v>0</v>
      </c>
      <c r="I157" s="99">
        <f t="shared" si="13"/>
        <v>-28734180</v>
      </c>
      <c r="J157" s="99">
        <f t="shared" si="16"/>
        <v>0</v>
      </c>
      <c r="K157" s="99">
        <f t="shared" si="17"/>
        <v>-28734180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177</v>
      </c>
      <c r="H158" s="99">
        <f t="shared" si="15"/>
        <v>0</v>
      </c>
      <c r="I158" s="99">
        <f t="shared" si="13"/>
        <v>-531159300</v>
      </c>
      <c r="J158" s="99">
        <f t="shared" si="16"/>
        <v>0</v>
      </c>
      <c r="K158" s="99">
        <f t="shared" si="17"/>
        <v>-531159300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175</v>
      </c>
      <c r="H159" s="99">
        <f t="shared" si="15"/>
        <v>0</v>
      </c>
      <c r="I159" s="99">
        <f t="shared" si="13"/>
        <v>-175087500</v>
      </c>
      <c r="J159" s="99">
        <f t="shared" si="16"/>
        <v>0</v>
      </c>
      <c r="K159" s="99">
        <f t="shared" si="17"/>
        <v>-175087500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171</v>
      </c>
      <c r="H160" s="99">
        <f t="shared" si="15"/>
        <v>0</v>
      </c>
      <c r="I160" s="99">
        <f t="shared" si="13"/>
        <v>-17100000</v>
      </c>
      <c r="J160" s="99">
        <f t="shared" si="16"/>
        <v>0</v>
      </c>
      <c r="K160" s="99">
        <f t="shared" si="17"/>
        <v>-17100000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170</v>
      </c>
      <c r="H161" s="99">
        <f t="shared" si="15"/>
        <v>0</v>
      </c>
      <c r="I161" s="99">
        <f t="shared" si="13"/>
        <v>-340000000</v>
      </c>
      <c r="J161" s="99">
        <f t="shared" si="16"/>
        <v>0</v>
      </c>
      <c r="K161" s="99">
        <f t="shared" si="17"/>
        <v>-340000000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170</v>
      </c>
      <c r="H162" s="99">
        <f t="shared" si="15"/>
        <v>0</v>
      </c>
      <c r="I162" s="99">
        <f t="shared" si="13"/>
        <v>-170085000</v>
      </c>
      <c r="J162" s="99">
        <f t="shared" si="16"/>
        <v>0</v>
      </c>
      <c r="K162" s="99">
        <f t="shared" si="17"/>
        <v>-170085000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167</v>
      </c>
      <c r="H163" s="99">
        <f t="shared" si="15"/>
        <v>0</v>
      </c>
      <c r="I163" s="99">
        <f t="shared" si="13"/>
        <v>-835000</v>
      </c>
      <c r="J163" s="99">
        <f t="shared" si="16"/>
        <v>0</v>
      </c>
      <c r="K163" s="99">
        <f t="shared" si="17"/>
        <v>-835000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157</v>
      </c>
      <c r="H164" s="99">
        <f t="shared" si="15"/>
        <v>1</v>
      </c>
      <c r="I164" s="99">
        <f t="shared" si="13"/>
        <v>468000000</v>
      </c>
      <c r="J164" s="99">
        <f t="shared" si="16"/>
        <v>0</v>
      </c>
      <c r="K164" s="99">
        <f t="shared" si="17"/>
        <v>468000000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156</v>
      </c>
      <c r="H165" s="99">
        <f t="shared" si="15"/>
        <v>1</v>
      </c>
      <c r="I165" s="99">
        <f t="shared" si="13"/>
        <v>465000000</v>
      </c>
      <c r="J165" s="99">
        <f t="shared" si="16"/>
        <v>0</v>
      </c>
      <c r="K165" s="99">
        <f t="shared" si="17"/>
        <v>465000000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155</v>
      </c>
      <c r="H166" s="99">
        <f t="shared" si="15"/>
        <v>1</v>
      </c>
      <c r="I166" s="99">
        <f t="shared" si="13"/>
        <v>3128356</v>
      </c>
      <c r="J166" s="99">
        <f t="shared" si="16"/>
        <v>9215668</v>
      </c>
      <c r="K166" s="99">
        <f t="shared" si="17"/>
        <v>-6087312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150</v>
      </c>
      <c r="H167" s="99">
        <f t="shared" si="15"/>
        <v>0</v>
      </c>
      <c r="I167" s="99">
        <f t="shared" si="13"/>
        <v>-450135000</v>
      </c>
      <c r="J167" s="99">
        <f t="shared" si="16"/>
        <v>0</v>
      </c>
      <c r="K167" s="99">
        <f t="shared" si="17"/>
        <v>-450135000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132</v>
      </c>
      <c r="H168" s="99">
        <f t="shared" si="15"/>
        <v>0</v>
      </c>
      <c r="I168" s="99">
        <f t="shared" si="13"/>
        <v>-396118800</v>
      </c>
      <c r="J168" s="99">
        <f t="shared" si="16"/>
        <v>0</v>
      </c>
      <c r="K168" s="99">
        <f t="shared" si="17"/>
        <v>-396118800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124</v>
      </c>
      <c r="H169" s="99">
        <f t="shared" si="15"/>
        <v>1</v>
      </c>
      <c r="I169" s="99">
        <f t="shared" si="13"/>
        <v>2669715</v>
      </c>
      <c r="J169" s="99">
        <f t="shared" si="16"/>
        <v>8427345</v>
      </c>
      <c r="K169" s="99">
        <f t="shared" si="17"/>
        <v>-5757630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100</v>
      </c>
      <c r="H170" s="99">
        <f t="shared" si="15"/>
        <v>1</v>
      </c>
      <c r="I170" s="99">
        <f t="shared" si="13"/>
        <v>495000000</v>
      </c>
      <c r="J170" s="99">
        <f t="shared" si="16"/>
        <v>0</v>
      </c>
      <c r="K170" s="99">
        <f t="shared" si="17"/>
        <v>495000000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99</v>
      </c>
      <c r="H171" s="99">
        <f t="shared" si="15"/>
        <v>0</v>
      </c>
      <c r="I171" s="99">
        <f t="shared" si="13"/>
        <v>-495000000</v>
      </c>
      <c r="J171" s="99">
        <f t="shared" si="16"/>
        <v>0</v>
      </c>
      <c r="K171" s="99">
        <f t="shared" si="17"/>
        <v>-495000000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93</v>
      </c>
      <c r="H172" s="99">
        <f t="shared" si="15"/>
        <v>1</v>
      </c>
      <c r="I172" s="99">
        <f t="shared" si="13"/>
        <v>45632</v>
      </c>
      <c r="J172" s="99">
        <f t="shared" si="16"/>
        <v>5766652</v>
      </c>
      <c r="K172" s="99">
        <f t="shared" si="17"/>
        <v>-5721020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92</v>
      </c>
      <c r="H173" s="99">
        <f t="shared" si="15"/>
        <v>1</v>
      </c>
      <c r="I173" s="99">
        <f t="shared" si="13"/>
        <v>71435000</v>
      </c>
      <c r="J173" s="99">
        <f t="shared" si="16"/>
        <v>0</v>
      </c>
      <c r="K173" s="99">
        <f t="shared" si="17"/>
        <v>71435000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81</v>
      </c>
      <c r="H174" s="99">
        <f t="shared" si="15"/>
        <v>0</v>
      </c>
      <c r="I174" s="99">
        <f t="shared" si="13"/>
        <v>-2592000</v>
      </c>
      <c r="J174" s="99">
        <f t="shared" si="16"/>
        <v>0</v>
      </c>
      <c r="K174" s="99">
        <f t="shared" si="17"/>
        <v>-2592000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79</v>
      </c>
      <c r="H175" s="99">
        <f t="shared" si="15"/>
        <v>0</v>
      </c>
      <c r="I175" s="99">
        <f t="shared" si="13"/>
        <v>-59250000</v>
      </c>
      <c r="J175" s="99">
        <f t="shared" si="16"/>
        <v>0</v>
      </c>
      <c r="K175" s="99">
        <f t="shared" si="17"/>
        <v>-59250000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70</v>
      </c>
      <c r="H176" s="99">
        <f t="shared" si="15"/>
        <v>0</v>
      </c>
      <c r="I176" s="99">
        <f t="shared" si="13"/>
        <v>-657720</v>
      </c>
      <c r="J176" s="99">
        <f t="shared" si="16"/>
        <v>0</v>
      </c>
      <c r="K176" s="99">
        <f t="shared" si="17"/>
        <v>-657720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69</v>
      </c>
      <c r="H177" s="99">
        <f t="shared" si="15"/>
        <v>0</v>
      </c>
      <c r="I177" s="99">
        <f t="shared" si="13"/>
        <v>-2987700</v>
      </c>
      <c r="J177" s="99">
        <f t="shared" si="16"/>
        <v>0</v>
      </c>
      <c r="K177" s="99">
        <f t="shared" si="17"/>
        <v>-2987700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66</v>
      </c>
      <c r="H178" s="99">
        <f t="shared" si="15"/>
        <v>1</v>
      </c>
      <c r="I178" s="99">
        <f t="shared" si="13"/>
        <v>23400000</v>
      </c>
      <c r="J178" s="99">
        <f t="shared" si="16"/>
        <v>0</v>
      </c>
      <c r="K178" s="99">
        <f t="shared" si="17"/>
        <v>23400000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64</v>
      </c>
      <c r="H179" s="99">
        <f t="shared" si="15"/>
        <v>1</v>
      </c>
      <c r="I179" s="99">
        <f t="shared" si="13"/>
        <v>189000000</v>
      </c>
      <c r="J179" s="99">
        <f t="shared" si="16"/>
        <v>0</v>
      </c>
      <c r="K179" s="99">
        <f t="shared" si="17"/>
        <v>189000000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64</v>
      </c>
      <c r="H180" s="99">
        <f t="shared" si="15"/>
        <v>0</v>
      </c>
      <c r="I180" s="99">
        <f t="shared" si="13"/>
        <v>-771200</v>
      </c>
      <c r="J180" s="99">
        <f t="shared" si="16"/>
        <v>0</v>
      </c>
      <c r="K180" s="99">
        <f t="shared" si="17"/>
        <v>-771200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62</v>
      </c>
      <c r="H181" s="99">
        <f t="shared" si="15"/>
        <v>1</v>
      </c>
      <c r="I181" s="99">
        <f t="shared" si="13"/>
        <v>183000000</v>
      </c>
      <c r="J181" s="99">
        <f t="shared" si="16"/>
        <v>0</v>
      </c>
      <c r="K181" s="99">
        <f t="shared" si="17"/>
        <v>183000000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60</v>
      </c>
      <c r="H182" s="99">
        <f t="shared" si="15"/>
        <v>0</v>
      </c>
      <c r="I182" s="99">
        <f t="shared" si="13"/>
        <v>-2148000</v>
      </c>
      <c r="J182" s="99">
        <f t="shared" si="16"/>
        <v>0</v>
      </c>
      <c r="K182" s="99">
        <f t="shared" si="17"/>
        <v>-2148000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59</v>
      </c>
      <c r="H183" s="99">
        <f t="shared" si="15"/>
        <v>1</v>
      </c>
      <c r="I183" s="99">
        <f t="shared" si="13"/>
        <v>208800000</v>
      </c>
      <c r="J183" s="99">
        <f t="shared" si="16"/>
        <v>0</v>
      </c>
      <c r="K183" s="99">
        <f t="shared" si="17"/>
        <v>208800000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59</v>
      </c>
      <c r="H184" s="99">
        <f t="shared" si="15"/>
        <v>0</v>
      </c>
      <c r="I184" s="99">
        <f t="shared" si="13"/>
        <v>-1969243</v>
      </c>
      <c r="J184" s="99">
        <f t="shared" si="16"/>
        <v>0</v>
      </c>
      <c r="K184" s="99">
        <f t="shared" si="17"/>
        <v>-1969243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56</v>
      </c>
      <c r="H185" s="99">
        <f t="shared" si="15"/>
        <v>0</v>
      </c>
      <c r="I185" s="99">
        <f t="shared" si="13"/>
        <v>-548800000</v>
      </c>
      <c r="J185" s="99">
        <f t="shared" si="16"/>
        <v>0</v>
      </c>
      <c r="K185" s="99">
        <f t="shared" si="17"/>
        <v>-548800000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56</v>
      </c>
      <c r="H186" s="99">
        <f t="shared" si="15"/>
        <v>1</v>
      </c>
      <c r="I186" s="99">
        <f t="shared" si="13"/>
        <v>990000000</v>
      </c>
      <c r="J186" s="99">
        <f t="shared" si="16"/>
        <v>0</v>
      </c>
      <c r="K186" s="99">
        <f t="shared" si="17"/>
        <v>990000000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56</v>
      </c>
      <c r="H187" s="99">
        <f t="shared" si="15"/>
        <v>0</v>
      </c>
      <c r="I187" s="99">
        <f t="shared" si="13"/>
        <v>-504000000</v>
      </c>
      <c r="J187" s="99">
        <f t="shared" si="16"/>
        <v>0</v>
      </c>
      <c r="K187" s="99">
        <f t="shared" si="17"/>
        <v>-504000000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56</v>
      </c>
      <c r="H188" s="99">
        <f t="shared" si="15"/>
        <v>0</v>
      </c>
      <c r="I188" s="99">
        <f t="shared" si="13"/>
        <v>-649600</v>
      </c>
      <c r="J188" s="99">
        <f t="shared" si="16"/>
        <v>0</v>
      </c>
      <c r="K188" s="99">
        <f t="shared" si="17"/>
        <v>-649600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56</v>
      </c>
      <c r="H189" s="99">
        <f t="shared" si="15"/>
        <v>0</v>
      </c>
      <c r="I189" s="99">
        <f t="shared" si="13"/>
        <v>-185042312</v>
      </c>
      <c r="J189" s="99">
        <f t="shared" si="16"/>
        <v>0</v>
      </c>
      <c r="K189" s="99">
        <f t="shared" si="17"/>
        <v>-185042312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55</v>
      </c>
      <c r="H190" s="99">
        <f t="shared" si="15"/>
        <v>0</v>
      </c>
      <c r="I190" s="99">
        <f t="shared" si="13"/>
        <v>-165049500</v>
      </c>
      <c r="J190" s="99">
        <f t="shared" si="16"/>
        <v>0</v>
      </c>
      <c r="K190" s="99">
        <f t="shared" si="17"/>
        <v>-165049500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54</v>
      </c>
      <c r="H191" s="99">
        <f t="shared" si="15"/>
        <v>0</v>
      </c>
      <c r="I191" s="99">
        <f t="shared" si="13"/>
        <v>-149088600</v>
      </c>
      <c r="J191" s="99">
        <f t="shared" si="16"/>
        <v>0</v>
      </c>
      <c r="K191" s="99">
        <f t="shared" si="17"/>
        <v>-149088600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49</v>
      </c>
      <c r="H192" s="99">
        <f t="shared" si="15"/>
        <v>1</v>
      </c>
      <c r="I192" s="99">
        <f t="shared" si="13"/>
        <v>48000000</v>
      </c>
      <c r="J192" s="99">
        <f t="shared" si="16"/>
        <v>0</v>
      </c>
      <c r="K192" s="99">
        <f t="shared" si="17"/>
        <v>48000000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48</v>
      </c>
      <c r="H193" s="99">
        <f t="shared" si="15"/>
        <v>0</v>
      </c>
      <c r="I193" s="99">
        <f t="shared" si="13"/>
        <v>-720000</v>
      </c>
      <c r="J193" s="99">
        <f t="shared" si="16"/>
        <v>0</v>
      </c>
      <c r="K193" s="99">
        <f t="shared" si="17"/>
        <v>-720000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46</v>
      </c>
      <c r="H194" s="99">
        <f t="shared" si="15"/>
        <v>0</v>
      </c>
      <c r="I194" s="99">
        <f t="shared" si="13"/>
        <v>-45540000</v>
      </c>
      <c r="J194" s="99">
        <f t="shared" si="16"/>
        <v>0</v>
      </c>
      <c r="K194" s="99">
        <f t="shared" si="17"/>
        <v>-45540000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46</v>
      </c>
      <c r="H195" s="99">
        <f t="shared" si="15"/>
        <v>1</v>
      </c>
      <c r="I195" s="99">
        <f t="shared" si="13"/>
        <v>35235000</v>
      </c>
      <c r="J195" s="99">
        <f t="shared" si="16"/>
        <v>0</v>
      </c>
      <c r="K195" s="99">
        <f t="shared" si="17"/>
        <v>35235000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44</v>
      </c>
      <c r="H196" s="99">
        <f t="shared" si="15"/>
        <v>0</v>
      </c>
      <c r="I196" s="99">
        <f t="shared" si="13"/>
        <v>-33022000</v>
      </c>
      <c r="J196" s="99">
        <f t="shared" si="16"/>
        <v>0</v>
      </c>
      <c r="K196" s="99">
        <f t="shared" si="17"/>
        <v>-33022000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42</v>
      </c>
      <c r="H197" s="99">
        <f t="shared" si="15"/>
        <v>1</v>
      </c>
      <c r="I197" s="99">
        <f t="shared" si="13"/>
        <v>28700000</v>
      </c>
      <c r="J197" s="99">
        <f t="shared" si="16"/>
        <v>0</v>
      </c>
      <c r="K197" s="99">
        <f t="shared" si="17"/>
        <v>28700000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42</v>
      </c>
      <c r="H198" s="99">
        <f t="shared" si="15"/>
        <v>0</v>
      </c>
      <c r="I198" s="99">
        <f t="shared" si="13"/>
        <v>-4158000</v>
      </c>
      <c r="J198" s="99">
        <f t="shared" si="16"/>
        <v>0</v>
      </c>
      <c r="K198" s="99">
        <f t="shared" si="17"/>
        <v>-4158000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41</v>
      </c>
      <c r="H199" s="99">
        <f t="shared" si="15"/>
        <v>0</v>
      </c>
      <c r="I199" s="99">
        <f t="shared" si="13"/>
        <v>-8435750</v>
      </c>
      <c r="J199" s="99">
        <f t="shared" si="16"/>
        <v>0</v>
      </c>
      <c r="K199" s="99">
        <f t="shared" si="17"/>
        <v>-8435750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41</v>
      </c>
      <c r="H200" s="99">
        <f t="shared" si="15"/>
        <v>0</v>
      </c>
      <c r="I200" s="99">
        <f t="shared" si="13"/>
        <v>-3895000</v>
      </c>
      <c r="J200" s="99">
        <f t="shared" si="16"/>
        <v>0</v>
      </c>
      <c r="K200" s="99">
        <f t="shared" si="17"/>
        <v>-3895000</v>
      </c>
    </row>
    <row r="201" spans="1:11" x14ac:dyDescent="0.25">
      <c r="A201" s="99" t="s">
        <v>4161</v>
      </c>
      <c r="B201" s="18">
        <v>48650000</v>
      </c>
      <c r="C201" s="18">
        <v>0</v>
      </c>
      <c r="D201" s="18">
        <f t="shared" si="18"/>
        <v>48650000</v>
      </c>
      <c r="E201" s="99" t="s">
        <v>4162</v>
      </c>
      <c r="F201" s="99">
        <v>0</v>
      </c>
      <c r="G201" s="36">
        <f t="shared" si="14"/>
        <v>38</v>
      </c>
      <c r="H201" s="99">
        <f t="shared" si="15"/>
        <v>1</v>
      </c>
      <c r="I201" s="99">
        <f t="shared" si="13"/>
        <v>1800050000</v>
      </c>
      <c r="J201" s="99">
        <f t="shared" si="16"/>
        <v>0</v>
      </c>
      <c r="K201" s="99">
        <f t="shared" si="17"/>
        <v>1800050000</v>
      </c>
    </row>
    <row r="202" spans="1:11" x14ac:dyDescent="0.25">
      <c r="A202" s="99" t="s">
        <v>4161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38</v>
      </c>
      <c r="H202" s="99">
        <f t="shared" si="15"/>
        <v>0</v>
      </c>
      <c r="I202" s="99">
        <f t="shared" si="13"/>
        <v>-114034200</v>
      </c>
      <c r="J202" s="99">
        <f t="shared" si="16"/>
        <v>0</v>
      </c>
      <c r="K202" s="99">
        <f t="shared" si="17"/>
        <v>-114034200</v>
      </c>
    </row>
    <row r="203" spans="1:11" x14ac:dyDescent="0.25">
      <c r="A203" s="99" t="s">
        <v>4161</v>
      </c>
      <c r="B203" s="18">
        <v>-5000</v>
      </c>
      <c r="C203" s="18">
        <v>0</v>
      </c>
      <c r="D203" s="18">
        <f t="shared" si="18"/>
        <v>-5000</v>
      </c>
      <c r="E203" s="99" t="s">
        <v>4163</v>
      </c>
      <c r="F203" s="99">
        <v>0</v>
      </c>
      <c r="G203" s="36">
        <f t="shared" si="14"/>
        <v>38</v>
      </c>
      <c r="H203" s="99">
        <f t="shared" si="15"/>
        <v>0</v>
      </c>
      <c r="I203" s="99">
        <f t="shared" si="13"/>
        <v>-190000</v>
      </c>
      <c r="J203" s="99">
        <f t="shared" si="16"/>
        <v>0</v>
      </c>
      <c r="K203" s="99">
        <f t="shared" si="17"/>
        <v>-190000</v>
      </c>
    </row>
    <row r="204" spans="1:11" x14ac:dyDescent="0.25">
      <c r="A204" s="99" t="s">
        <v>4161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38</v>
      </c>
      <c r="H204" s="99">
        <f t="shared" si="15"/>
        <v>0</v>
      </c>
      <c r="I204" s="99">
        <f t="shared" si="13"/>
        <v>-1273000000</v>
      </c>
      <c r="J204" s="99">
        <f t="shared" si="16"/>
        <v>0</v>
      </c>
      <c r="K204" s="99">
        <f t="shared" si="17"/>
        <v>-1273000000</v>
      </c>
    </row>
    <row r="205" spans="1:11" x14ac:dyDescent="0.25">
      <c r="A205" s="11" t="s">
        <v>4166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37</v>
      </c>
      <c r="H205" s="99">
        <f t="shared" si="15"/>
        <v>0</v>
      </c>
      <c r="I205" s="99">
        <f t="shared" si="13"/>
        <v>-460095000</v>
      </c>
      <c r="J205" s="99">
        <f t="shared" si="16"/>
        <v>0</v>
      </c>
      <c r="K205" s="99">
        <f t="shared" si="17"/>
        <v>-460095000</v>
      </c>
    </row>
    <row r="206" spans="1:11" x14ac:dyDescent="0.25">
      <c r="A206" s="99" t="s">
        <v>4179</v>
      </c>
      <c r="B206" s="18">
        <v>-18500</v>
      </c>
      <c r="C206" s="18">
        <v>0</v>
      </c>
      <c r="D206" s="18">
        <f t="shared" si="18"/>
        <v>-18500</v>
      </c>
      <c r="E206" s="99" t="s">
        <v>4180</v>
      </c>
      <c r="F206" s="99">
        <v>2</v>
      </c>
      <c r="G206" s="36">
        <f t="shared" si="19"/>
        <v>34</v>
      </c>
      <c r="H206" s="99">
        <f t="shared" si="15"/>
        <v>0</v>
      </c>
      <c r="I206" s="99">
        <f t="shared" si="13"/>
        <v>-629000</v>
      </c>
      <c r="J206" s="99">
        <f t="shared" si="16"/>
        <v>0</v>
      </c>
      <c r="K206" s="99">
        <f t="shared" si="17"/>
        <v>-629000</v>
      </c>
    </row>
    <row r="207" spans="1:11" x14ac:dyDescent="0.25">
      <c r="A207" s="99" t="s">
        <v>4176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32</v>
      </c>
      <c r="H207" s="99">
        <f t="shared" si="15"/>
        <v>1</v>
      </c>
      <c r="I207" s="99">
        <f t="shared" si="13"/>
        <v>448880</v>
      </c>
      <c r="J207" s="99">
        <f t="shared" ref="J207:J266" si="20">C207*(G207-H207)</f>
        <v>2197094</v>
      </c>
      <c r="K207" s="99">
        <f t="shared" si="17"/>
        <v>-1748214</v>
      </c>
    </row>
    <row r="208" spans="1:11" x14ac:dyDescent="0.25">
      <c r="A208" s="99" t="s">
        <v>4182</v>
      </c>
      <c r="B208" s="18">
        <v>830000</v>
      </c>
      <c r="C208" s="18">
        <v>0</v>
      </c>
      <c r="D208" s="18">
        <f t="shared" si="18"/>
        <v>830000</v>
      </c>
      <c r="E208" s="99" t="s">
        <v>4183</v>
      </c>
      <c r="F208" s="99">
        <v>2</v>
      </c>
      <c r="G208" s="36">
        <f t="shared" si="19"/>
        <v>31</v>
      </c>
      <c r="H208" s="99">
        <f t="shared" si="15"/>
        <v>1</v>
      </c>
      <c r="I208" s="99">
        <f t="shared" si="13"/>
        <v>24900000</v>
      </c>
      <c r="J208" s="99">
        <f t="shared" si="20"/>
        <v>0</v>
      </c>
      <c r="K208" s="99">
        <f t="shared" si="17"/>
        <v>24900000</v>
      </c>
    </row>
    <row r="209" spans="1:13" x14ac:dyDescent="0.25">
      <c r="A209" s="99" t="s">
        <v>4201</v>
      </c>
      <c r="B209" s="18">
        <v>-52440</v>
      </c>
      <c r="C209" s="18">
        <v>0</v>
      </c>
      <c r="D209" s="18">
        <f t="shared" si="18"/>
        <v>-52440</v>
      </c>
      <c r="E209" s="99" t="s">
        <v>4205</v>
      </c>
      <c r="F209" s="99">
        <v>1</v>
      </c>
      <c r="G209" s="36">
        <f t="shared" si="19"/>
        <v>29</v>
      </c>
      <c r="H209" s="99">
        <f t="shared" si="15"/>
        <v>0</v>
      </c>
      <c r="I209" s="99">
        <f t="shared" si="13"/>
        <v>-1520760</v>
      </c>
      <c r="J209" s="99">
        <f t="shared" si="20"/>
        <v>0</v>
      </c>
      <c r="K209" s="99">
        <f t="shared" si="17"/>
        <v>-1520760</v>
      </c>
    </row>
    <row r="210" spans="1:13" x14ac:dyDescent="0.25">
      <c r="A210" s="99" t="s">
        <v>4206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28</v>
      </c>
      <c r="H210" s="99">
        <f t="shared" si="15"/>
        <v>0</v>
      </c>
      <c r="I210" s="99">
        <f t="shared" si="13"/>
        <v>-1430800</v>
      </c>
      <c r="J210" s="99">
        <f t="shared" si="20"/>
        <v>0</v>
      </c>
      <c r="K210" s="99">
        <f t="shared" si="17"/>
        <v>-1430800</v>
      </c>
    </row>
    <row r="211" spans="1:13" x14ac:dyDescent="0.25">
      <c r="A211" s="99" t="s">
        <v>4207</v>
      </c>
      <c r="B211" s="18">
        <v>-200000</v>
      </c>
      <c r="C211" s="18">
        <v>0</v>
      </c>
      <c r="D211" s="18">
        <f t="shared" si="18"/>
        <v>-200000</v>
      </c>
      <c r="E211" s="99" t="s">
        <v>4208</v>
      </c>
      <c r="F211" s="99">
        <v>1</v>
      </c>
      <c r="G211" s="36">
        <f t="shared" si="19"/>
        <v>27</v>
      </c>
      <c r="H211" s="99">
        <f t="shared" si="15"/>
        <v>0</v>
      </c>
      <c r="I211" s="99">
        <f t="shared" si="13"/>
        <v>-5400000</v>
      </c>
      <c r="J211" s="99">
        <f t="shared" si="20"/>
        <v>0</v>
      </c>
      <c r="K211" s="99">
        <f t="shared" si="17"/>
        <v>-5400000</v>
      </c>
    </row>
    <row r="212" spans="1:13" x14ac:dyDescent="0.25">
      <c r="A212" s="99" t="s">
        <v>4209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26</v>
      </c>
      <c r="H212" s="99">
        <f t="shared" si="15"/>
        <v>0</v>
      </c>
      <c r="I212" s="99">
        <f t="shared" si="13"/>
        <v>-728000</v>
      </c>
      <c r="J212" s="99">
        <f t="shared" si="20"/>
        <v>0</v>
      </c>
      <c r="K212" s="99">
        <f t="shared" si="17"/>
        <v>-728000</v>
      </c>
    </row>
    <row r="213" spans="1:13" x14ac:dyDescent="0.25">
      <c r="A213" s="99" t="s">
        <v>4210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25</v>
      </c>
      <c r="H213" s="99">
        <f t="shared" si="15"/>
        <v>0</v>
      </c>
      <c r="I213" s="99">
        <f t="shared" si="13"/>
        <v>-1477500</v>
      </c>
      <c r="J213" s="99">
        <f t="shared" si="20"/>
        <v>0</v>
      </c>
      <c r="K213" s="99">
        <f t="shared" si="17"/>
        <v>-1477500</v>
      </c>
    </row>
    <row r="214" spans="1:13" x14ac:dyDescent="0.25">
      <c r="A214" s="99" t="s">
        <v>4210</v>
      </c>
      <c r="B214" s="18">
        <v>-30000</v>
      </c>
      <c r="C214" s="18">
        <v>0</v>
      </c>
      <c r="D214" s="18">
        <f t="shared" si="18"/>
        <v>-30000</v>
      </c>
      <c r="E214" s="99" t="s">
        <v>4211</v>
      </c>
      <c r="F214" s="99">
        <v>0</v>
      </c>
      <c r="G214" s="36">
        <f t="shared" si="19"/>
        <v>24</v>
      </c>
      <c r="H214" s="99">
        <f t="shared" si="15"/>
        <v>0</v>
      </c>
      <c r="I214" s="99">
        <f t="shared" si="13"/>
        <v>-720000</v>
      </c>
      <c r="J214" s="99">
        <f t="shared" si="20"/>
        <v>0</v>
      </c>
      <c r="K214" s="99">
        <f t="shared" si="17"/>
        <v>-720000</v>
      </c>
    </row>
    <row r="215" spans="1:13" x14ac:dyDescent="0.25">
      <c r="A215" s="99" t="s">
        <v>4210</v>
      </c>
      <c r="B215" s="18">
        <v>-178000</v>
      </c>
      <c r="C215" s="18">
        <v>0</v>
      </c>
      <c r="D215" s="18">
        <f t="shared" si="18"/>
        <v>-178000</v>
      </c>
      <c r="E215" s="99" t="s">
        <v>4213</v>
      </c>
      <c r="F215" s="99">
        <v>1</v>
      </c>
      <c r="G215" s="36">
        <f t="shared" si="19"/>
        <v>24</v>
      </c>
      <c r="H215" s="99">
        <f t="shared" si="15"/>
        <v>0</v>
      </c>
      <c r="I215" s="99">
        <f t="shared" si="13"/>
        <v>-4272000</v>
      </c>
      <c r="J215" s="99">
        <f t="shared" si="20"/>
        <v>0</v>
      </c>
      <c r="K215" s="99">
        <f t="shared" si="17"/>
        <v>-4272000</v>
      </c>
    </row>
    <row r="216" spans="1:13" x14ac:dyDescent="0.25">
      <c r="A216" s="99" t="s">
        <v>4215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23</v>
      </c>
      <c r="H216" s="99">
        <f t="shared" si="15"/>
        <v>0</v>
      </c>
      <c r="I216" s="99">
        <f t="shared" si="13"/>
        <v>-2199030</v>
      </c>
      <c r="J216" s="99">
        <f t="shared" si="20"/>
        <v>0</v>
      </c>
      <c r="K216" s="99">
        <f t="shared" si="17"/>
        <v>-2199030</v>
      </c>
    </row>
    <row r="217" spans="1:13" x14ac:dyDescent="0.25">
      <c r="A217" s="99" t="s">
        <v>4175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20</v>
      </c>
      <c r="H217" s="99">
        <f t="shared" si="15"/>
        <v>0</v>
      </c>
      <c r="I217" s="99">
        <f t="shared" si="13"/>
        <v>-1680000</v>
      </c>
      <c r="J217" s="99">
        <f t="shared" si="20"/>
        <v>0</v>
      </c>
      <c r="K217" s="99">
        <f t="shared" si="17"/>
        <v>-1680000</v>
      </c>
    </row>
    <row r="218" spans="1:13" x14ac:dyDescent="0.25">
      <c r="A218" s="99" t="s">
        <v>4219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18</v>
      </c>
      <c r="H218" s="99">
        <f t="shared" si="15"/>
        <v>0</v>
      </c>
      <c r="I218" s="99">
        <f t="shared" si="13"/>
        <v>-594000</v>
      </c>
      <c r="J218" s="99">
        <f t="shared" si="20"/>
        <v>0</v>
      </c>
      <c r="K218" s="99">
        <f t="shared" si="17"/>
        <v>-594000</v>
      </c>
    </row>
    <row r="219" spans="1:13" x14ac:dyDescent="0.25">
      <c r="A219" s="99" t="s">
        <v>4224</v>
      </c>
      <c r="B219" s="18">
        <v>1548000</v>
      </c>
      <c r="C219" s="18">
        <v>0</v>
      </c>
      <c r="D219" s="18">
        <f t="shared" si="18"/>
        <v>1548000</v>
      </c>
      <c r="E219" s="99" t="s">
        <v>4254</v>
      </c>
      <c r="F219" s="99">
        <v>1</v>
      </c>
      <c r="G219" s="36">
        <f t="shared" si="21"/>
        <v>15</v>
      </c>
      <c r="H219" s="99">
        <f t="shared" si="15"/>
        <v>1</v>
      </c>
      <c r="I219" s="99">
        <f t="shared" si="13"/>
        <v>21672000</v>
      </c>
      <c r="J219" s="99">
        <f t="shared" si="20"/>
        <v>0</v>
      </c>
      <c r="K219" s="99">
        <f t="shared" si="17"/>
        <v>21672000</v>
      </c>
    </row>
    <row r="220" spans="1:13" x14ac:dyDescent="0.25">
      <c r="A220" s="99" t="s">
        <v>4255</v>
      </c>
      <c r="B220" s="18">
        <v>-1400700</v>
      </c>
      <c r="C220" s="18">
        <v>0</v>
      </c>
      <c r="D220" s="18">
        <f t="shared" si="18"/>
        <v>-1400700</v>
      </c>
      <c r="E220" s="99" t="s">
        <v>4256</v>
      </c>
      <c r="F220" s="99">
        <v>0</v>
      </c>
      <c r="G220" s="36">
        <f t="shared" si="21"/>
        <v>14</v>
      </c>
      <c r="H220" s="99">
        <f t="shared" si="15"/>
        <v>0</v>
      </c>
      <c r="I220" s="99">
        <f t="shared" si="13"/>
        <v>-19609800</v>
      </c>
      <c r="J220" s="99">
        <f t="shared" si="20"/>
        <v>0</v>
      </c>
      <c r="K220" s="99">
        <f t="shared" si="17"/>
        <v>-19609800</v>
      </c>
    </row>
    <row r="221" spans="1:13" x14ac:dyDescent="0.25">
      <c r="A221" s="99" t="s">
        <v>4255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14</v>
      </c>
      <c r="H221" s="99">
        <f t="shared" si="15"/>
        <v>0</v>
      </c>
      <c r="I221" s="99">
        <f t="shared" si="13"/>
        <v>-140000</v>
      </c>
      <c r="J221" s="99">
        <f t="shared" si="20"/>
        <v>0</v>
      </c>
      <c r="K221" s="99">
        <f t="shared" si="17"/>
        <v>-140000</v>
      </c>
    </row>
    <row r="222" spans="1:13" x14ac:dyDescent="0.25">
      <c r="A222" s="99" t="s">
        <v>4255</v>
      </c>
      <c r="B222" s="18">
        <v>-5000</v>
      </c>
      <c r="C222" s="18">
        <v>-2500</v>
      </c>
      <c r="D222" s="18">
        <f t="shared" si="18"/>
        <v>-2500</v>
      </c>
      <c r="E222" s="99" t="s">
        <v>4267</v>
      </c>
      <c r="F222" s="99">
        <v>6</v>
      </c>
      <c r="G222" s="36">
        <f t="shared" si="21"/>
        <v>14</v>
      </c>
      <c r="H222" s="99">
        <f t="shared" si="15"/>
        <v>0</v>
      </c>
      <c r="I222" s="99">
        <f t="shared" si="13"/>
        <v>-70000</v>
      </c>
      <c r="J222" s="99">
        <f t="shared" si="20"/>
        <v>-35000</v>
      </c>
      <c r="K222" s="99">
        <f t="shared" si="17"/>
        <v>-35000</v>
      </c>
    </row>
    <row r="223" spans="1:13" x14ac:dyDescent="0.25">
      <c r="A223" s="99" t="s">
        <v>4280</v>
      </c>
      <c r="B223" s="18">
        <v>-190000</v>
      </c>
      <c r="C223" s="18">
        <v>0</v>
      </c>
      <c r="D223" s="18">
        <f t="shared" si="18"/>
        <v>-190000</v>
      </c>
      <c r="E223" s="99" t="s">
        <v>4281</v>
      </c>
      <c r="F223" s="99">
        <v>7</v>
      </c>
      <c r="G223" s="36">
        <f t="shared" si="21"/>
        <v>8</v>
      </c>
      <c r="H223" s="99">
        <f t="shared" si="15"/>
        <v>0</v>
      </c>
      <c r="I223" s="99">
        <f t="shared" si="13"/>
        <v>-1520000</v>
      </c>
      <c r="J223" s="99">
        <f t="shared" si="20"/>
        <v>0</v>
      </c>
      <c r="K223" s="99">
        <f t="shared" si="17"/>
        <v>-1520000</v>
      </c>
      <c r="M223" t="s">
        <v>25</v>
      </c>
    </row>
    <row r="224" spans="1:13" x14ac:dyDescent="0.25">
      <c r="A224" s="99" t="s">
        <v>4326</v>
      </c>
      <c r="B224" s="18">
        <v>1911</v>
      </c>
      <c r="C224" s="18">
        <v>64972</v>
      </c>
      <c r="D224" s="18">
        <f t="shared" si="18"/>
        <v>-63061</v>
      </c>
      <c r="E224" s="99" t="s">
        <v>736</v>
      </c>
      <c r="F224" s="99">
        <v>1</v>
      </c>
      <c r="G224" s="36">
        <f t="shared" si="21"/>
        <v>1</v>
      </c>
      <c r="H224" s="99">
        <f t="shared" si="15"/>
        <v>1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8778</v>
      </c>
      <c r="C267" s="29">
        <f>SUM(C2:C256)</f>
        <v>7968789</v>
      </c>
      <c r="D267" s="29">
        <f>SUM(D2:D254)</f>
        <v>-7960011</v>
      </c>
      <c r="E267" s="11"/>
      <c r="F267" s="11"/>
      <c r="G267" s="11"/>
      <c r="H267" s="11"/>
      <c r="I267" s="29">
        <f>SUM(I2:I266)</f>
        <v>18781474351</v>
      </c>
      <c r="J267" s="29">
        <f>SUM(J2:J266)</f>
        <v>8305183557</v>
      </c>
      <c r="K267" s="29">
        <f>SUM(K2:K266)</f>
        <v>10476290794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20282369.709503241</v>
      </c>
      <c r="J270" s="29">
        <f>J267/G2</f>
        <v>8968880.731101511</v>
      </c>
      <c r="K270" s="29">
        <f>K267/G2</f>
        <v>11313488.978401728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-6763372</v>
      </c>
      <c r="G274" t="s">
        <v>25</v>
      </c>
      <c r="J274">
        <f>J267/I267*1448696</f>
        <v>640614.57441710681</v>
      </c>
      <c r="K274">
        <f>K267/I267*1448696</f>
        <v>808081.42558289319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4161</v>
      </c>
      <c r="B23" s="18">
        <v>48650000</v>
      </c>
      <c r="C23" s="18">
        <v>0</v>
      </c>
      <c r="D23" s="113">
        <f t="shared" si="0"/>
        <v>48650000</v>
      </c>
      <c r="E23" s="19" t="s">
        <v>4162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4161</v>
      </c>
      <c r="B24" s="18">
        <v>-3005900</v>
      </c>
      <c r="C24" s="18">
        <v>0</v>
      </c>
      <c r="D24" s="113">
        <f t="shared" si="0"/>
        <v>-3005900</v>
      </c>
      <c r="E24" s="19" t="s">
        <v>4164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4166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4166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4179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4169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4170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4171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4173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4177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4178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4181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4265</v>
      </c>
      <c r="B72" s="113">
        <v>-5000</v>
      </c>
      <c r="C72" s="99" t="s">
        <v>4266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4182</v>
      </c>
      <c r="B3" s="18">
        <v>830000</v>
      </c>
      <c r="C3" s="18">
        <v>0</v>
      </c>
      <c r="D3" s="117">
        <f t="shared" ref="D3:D26" si="0">B3-C3</f>
        <v>830000</v>
      </c>
      <c r="E3" s="20" t="s">
        <v>4184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4201</v>
      </c>
      <c r="B4" s="18">
        <v>-52440</v>
      </c>
      <c r="C4" s="18">
        <v>0</v>
      </c>
      <c r="D4" s="113">
        <f t="shared" si="0"/>
        <v>-52440</v>
      </c>
      <c r="E4" s="99" t="s">
        <v>4205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4206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4207</v>
      </c>
      <c r="B6" s="18">
        <v>-200000</v>
      </c>
      <c r="C6" s="18">
        <v>0</v>
      </c>
      <c r="D6" s="113">
        <f t="shared" si="0"/>
        <v>-200000</v>
      </c>
      <c r="E6" s="19" t="s">
        <v>4208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4209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4210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4210</v>
      </c>
      <c r="B9" s="18">
        <v>-30000</v>
      </c>
      <c r="C9" s="18">
        <v>0</v>
      </c>
      <c r="D9" s="113">
        <f t="shared" si="0"/>
        <v>-30000</v>
      </c>
      <c r="E9" s="21" t="s">
        <v>4211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4214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4215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4219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4224</v>
      </c>
      <c r="B14" s="18">
        <v>1548000</v>
      </c>
      <c r="C14" s="18">
        <v>0</v>
      </c>
      <c r="D14" s="113">
        <f t="shared" si="0"/>
        <v>1548000</v>
      </c>
      <c r="E14" s="20" t="s">
        <v>4264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4255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4265</v>
      </c>
      <c r="B16" s="18">
        <v>-5000</v>
      </c>
      <c r="C16" s="18">
        <v>-2500</v>
      </c>
      <c r="D16" s="113">
        <f t="shared" si="0"/>
        <v>-2500</v>
      </c>
      <c r="E16" s="20" t="s">
        <v>4266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4280</v>
      </c>
      <c r="B17" s="18">
        <v>-190000</v>
      </c>
      <c r="C17" s="18">
        <v>0</v>
      </c>
      <c r="D17" s="113">
        <f t="shared" si="0"/>
        <v>-190000</v>
      </c>
      <c r="E17" s="20" t="s">
        <v>4281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4326</v>
      </c>
      <c r="B18" s="18">
        <v>1911</v>
      </c>
      <c r="C18" s="18">
        <v>64972</v>
      </c>
      <c r="D18" s="113">
        <f t="shared" si="0"/>
        <v>-63061</v>
      </c>
      <c r="E18" s="20" t="s">
        <v>736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4185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4220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4222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4262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4290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4292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4318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30" sqref="A30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76880.058026907282</v>
      </c>
      <c r="C2" s="86">
        <f t="shared" ref="C2:C20" si="0">$S2/(1+($C$1-$O2+$P2)/36500)^$N2</f>
        <v>80182.253345945181</v>
      </c>
      <c r="D2" s="86">
        <f>$S2/(1+($D$1-$O2+$P2)/36500)^$N2</f>
        <v>80604.904348103621</v>
      </c>
      <c r="E2" s="86">
        <f>$S2/(1+($E$1-$O2+$P2)/36500)^$N2</f>
        <v>81029.789030553526</v>
      </c>
      <c r="F2" s="86">
        <f>$S2/(1+($F$1-$O2+$P2)/36500)^$N2</f>
        <v>81456.919228969375</v>
      </c>
      <c r="G2" s="86">
        <f>$S2/(1+($G$1-$O2+$P2)/36500)^$N2</f>
        <v>81886.306841882615</v>
      </c>
      <c r="H2" s="86">
        <f>$S2/(1+($H$1-$O2+$P2)/36500)^$N2</f>
        <v>82317.963831057248</v>
      </c>
      <c r="I2" s="86">
        <f>$S2/(1+($I$1-$O2+$P2)/36500)^$N2</f>
        <v>82751.902221790107</v>
      </c>
      <c r="J2" s="86">
        <f>$S2/(1+($J$1-$O2+$P2)/36500)^$N2</f>
        <v>83188.13410327227</v>
      </c>
      <c r="K2" s="86">
        <f>$S2/(1+($K$1-$O2+$P2)/36500)^$N2</f>
        <v>83626.671628934855</v>
      </c>
      <c r="L2" s="86">
        <f t="shared" ref="L2:L37" si="1">$S2/(1+($AC$5-$O2+$P2)/36500)^$N2</f>
        <v>81029.789030553526</v>
      </c>
      <c r="M2" s="148" t="s">
        <v>993</v>
      </c>
      <c r="N2" s="148">
        <f>601-$AD$19</f>
        <v>384</v>
      </c>
      <c r="O2" s="148">
        <v>0</v>
      </c>
      <c r="P2" s="148">
        <v>0</v>
      </c>
      <c r="Q2" s="148">
        <v>0</v>
      </c>
      <c r="R2" s="148">
        <f t="shared" ref="R2:R37" si="2">N2/30.5</f>
        <v>12.590163934426229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0" t="s">
        <v>4236</v>
      </c>
      <c r="B3" s="191">
        <f>$S3/(1+($B$1-$O3+$P3)/36500)^$N3</f>
        <v>96304.191984644247</v>
      </c>
      <c r="C3" s="191">
        <f t="shared" si="0"/>
        <v>96886.040720061748</v>
      </c>
      <c r="D3" s="191">
        <f t="shared" ref="D3:D37" si="5">$S3/(1+($D$1-$O3+$P3)/36500)^$N3</f>
        <v>96959.023052050848</v>
      </c>
      <c r="E3" s="191">
        <f t="shared" ref="E3:E37" si="6">$S3/(1+($E$1-$O3+$P3)/36500)^$N3</f>
        <v>97032.061360514534</v>
      </c>
      <c r="F3" s="191">
        <f t="shared" ref="F3:F37" si="7">$S3/(1+($F$1-$O3+$P3)/36500)^$N3</f>
        <v>97105.155689154795</v>
      </c>
      <c r="G3" s="191">
        <f t="shared" ref="G3:G37" si="8">$S3/(1+($G$1-$O3+$P3)/36500)^$N3</f>
        <v>97178.306081705086</v>
      </c>
      <c r="H3" s="191">
        <f t="shared" ref="H3:H37" si="9">$S3/(1+($H$1-$O3+$P3)/36500)^$N3</f>
        <v>97251.512581936957</v>
      </c>
      <c r="I3" s="191">
        <f t="shared" ref="I3:I37" si="10">$S3/(1+($I$1-$O3+$P3)/36500)^$N3</f>
        <v>97324.775233654</v>
      </c>
      <c r="J3" s="191">
        <f t="shared" ref="J3:J37" si="11">$S3/(1+($J$1-$O3+$P3)/36500)^$N3</f>
        <v>97398.094080695781</v>
      </c>
      <c r="K3" s="191">
        <f t="shared" ref="K3:K37" si="12">$S3/(1+($K$1-$O3+$P3)/36500)^$N3</f>
        <v>97471.469166938827</v>
      </c>
      <c r="L3" s="191">
        <f t="shared" si="1"/>
        <v>97032.061360514534</v>
      </c>
      <c r="M3" s="190" t="s">
        <v>4245</v>
      </c>
      <c r="N3" s="190">
        <f>272-$AD$19</f>
        <v>55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78368.18463658508</v>
      </c>
      <c r="C4" s="88">
        <f t="shared" si="0"/>
        <v>81484.03952039365</v>
      </c>
      <c r="D4" s="88">
        <f t="shared" si="5"/>
        <v>81882.157377821699</v>
      </c>
      <c r="E4" s="88">
        <f t="shared" si="6"/>
        <v>82282.225865435714</v>
      </c>
      <c r="F4" s="88">
        <f t="shared" si="7"/>
        <v>82684.254567513679</v>
      </c>
      <c r="G4" s="88">
        <f t="shared" si="8"/>
        <v>83088.253115538348</v>
      </c>
      <c r="H4" s="88">
        <f t="shared" si="9"/>
        <v>83494.231188468591</v>
      </c>
      <c r="I4" s="88">
        <f t="shared" si="10"/>
        <v>83902.198512939794</v>
      </c>
      <c r="J4" s="88">
        <f t="shared" si="11"/>
        <v>84312.164863520913</v>
      </c>
      <c r="K4" s="88">
        <f t="shared" si="12"/>
        <v>84724.14006295662</v>
      </c>
      <c r="L4" s="88">
        <f t="shared" si="1"/>
        <v>82282.225865435714</v>
      </c>
      <c r="M4" s="87" t="s">
        <v>994</v>
      </c>
      <c r="N4" s="87">
        <f>573-$AD$19</f>
        <v>356</v>
      </c>
      <c r="O4" s="87">
        <v>0</v>
      </c>
      <c r="P4" s="87">
        <v>0</v>
      </c>
      <c r="Q4" s="87">
        <v>0</v>
      </c>
      <c r="R4" s="87">
        <f t="shared" si="2"/>
        <v>11.672131147540984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95385.453677579193</v>
      </c>
      <c r="C5" s="57">
        <f t="shared" si="0"/>
        <v>96109.000729470063</v>
      </c>
      <c r="D5" s="57">
        <f t="shared" si="5"/>
        <v>96199.834766714441</v>
      </c>
      <c r="E5" s="57">
        <f t="shared" si="6"/>
        <v>96290.755897924391</v>
      </c>
      <c r="F5" s="57">
        <f t="shared" si="7"/>
        <v>96381.764207804008</v>
      </c>
      <c r="G5" s="57">
        <f t="shared" si="8"/>
        <v>96472.859781136547</v>
      </c>
      <c r="H5" s="57">
        <f t="shared" si="9"/>
        <v>96564.042702793231</v>
      </c>
      <c r="I5" s="57">
        <f t="shared" si="10"/>
        <v>96655.313057725623</v>
      </c>
      <c r="J5" s="57">
        <f t="shared" si="11"/>
        <v>96746.670930970504</v>
      </c>
      <c r="K5" s="57">
        <f t="shared" si="12"/>
        <v>96838.116407651032</v>
      </c>
      <c r="L5" s="57">
        <f t="shared" si="1"/>
        <v>96290.755897924391</v>
      </c>
      <c r="M5" s="12" t="s">
        <v>996</v>
      </c>
      <c r="N5" s="12">
        <f>286-$AD$19</f>
        <v>69</v>
      </c>
      <c r="O5" s="12">
        <v>0</v>
      </c>
      <c r="P5" s="12">
        <v>0</v>
      </c>
      <c r="Q5" s="12">
        <v>0</v>
      </c>
      <c r="R5" s="12">
        <f t="shared" si="2"/>
        <v>2.262295081967213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84152.155039695615</v>
      </c>
      <c r="C6" s="86">
        <f t="shared" si="0"/>
        <v>86507.020891126478</v>
      </c>
      <c r="D6" s="86">
        <f t="shared" si="5"/>
        <v>86805.993641830297</v>
      </c>
      <c r="E6" s="86">
        <f t="shared" si="6"/>
        <v>87106.003772344979</v>
      </c>
      <c r="F6" s="86">
        <f t="shared" si="7"/>
        <v>87407.054896469053</v>
      </c>
      <c r="G6" s="86">
        <f t="shared" si="8"/>
        <v>87709.150640625521</v>
      </c>
      <c r="H6" s="86">
        <f t="shared" si="9"/>
        <v>88012.294643934656</v>
      </c>
      <c r="I6" s="86">
        <f t="shared" si="10"/>
        <v>88316.490558233025</v>
      </c>
      <c r="J6" s="86">
        <f t="shared" si="11"/>
        <v>88621.742048134241</v>
      </c>
      <c r="K6" s="86">
        <f t="shared" si="12"/>
        <v>88928.052791077629</v>
      </c>
      <c r="L6" s="86">
        <f t="shared" si="1"/>
        <v>87106.003772344979</v>
      </c>
      <c r="M6" s="148" t="s">
        <v>995</v>
      </c>
      <c r="N6" s="148">
        <f>469-$AD$19</f>
        <v>252</v>
      </c>
      <c r="O6" s="148">
        <v>0</v>
      </c>
      <c r="P6" s="148">
        <v>0</v>
      </c>
      <c r="Q6" s="148">
        <v>0</v>
      </c>
      <c r="R6" s="148">
        <f t="shared" si="2"/>
        <v>8.2622950819672134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986</v>
      </c>
      <c r="B7" s="191">
        <f t="shared" si="14"/>
        <v>84152.155039695615</v>
      </c>
      <c r="C7" s="191">
        <f t="shared" si="0"/>
        <v>86507.020891126478</v>
      </c>
      <c r="D7" s="191">
        <f t="shared" si="5"/>
        <v>86805.993641830297</v>
      </c>
      <c r="E7" s="191">
        <f t="shared" si="6"/>
        <v>87106.003772344979</v>
      </c>
      <c r="F7" s="191">
        <f t="shared" si="7"/>
        <v>87407.054896469053</v>
      </c>
      <c r="G7" s="191">
        <f t="shared" si="8"/>
        <v>87709.150640625521</v>
      </c>
      <c r="H7" s="191">
        <f t="shared" si="9"/>
        <v>88012.294643934656</v>
      </c>
      <c r="I7" s="191">
        <f t="shared" si="10"/>
        <v>88316.490558233025</v>
      </c>
      <c r="J7" s="191">
        <f t="shared" si="11"/>
        <v>88621.742048134241</v>
      </c>
      <c r="K7" s="191">
        <f t="shared" si="12"/>
        <v>88928.052791077629</v>
      </c>
      <c r="L7" s="191">
        <f t="shared" si="1"/>
        <v>87106.003772344979</v>
      </c>
      <c r="M7" s="190" t="s">
        <v>995</v>
      </c>
      <c r="N7" s="190">
        <f>469-$AD$19</f>
        <v>252</v>
      </c>
      <c r="O7" s="190">
        <v>0</v>
      </c>
      <c r="P7" s="190">
        <v>0</v>
      </c>
      <c r="Q7" s="190">
        <v>0</v>
      </c>
      <c r="R7" s="190">
        <f t="shared" si="2"/>
        <v>8.2622950819672134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75782.536840790373</v>
      </c>
      <c r="C8" s="88">
        <f t="shared" si="0"/>
        <v>79219.580198689349</v>
      </c>
      <c r="D8" s="88">
        <f t="shared" si="5"/>
        <v>79660.056420933091</v>
      </c>
      <c r="E8" s="88">
        <f t="shared" si="6"/>
        <v>80102.987857285698</v>
      </c>
      <c r="F8" s="88">
        <f t="shared" si="7"/>
        <v>80548.388227014802</v>
      </c>
      <c r="G8" s="88">
        <f t="shared" si="8"/>
        <v>80996.271326216796</v>
      </c>
      <c r="H8" s="88">
        <f t="shared" si="9"/>
        <v>81446.651028290755</v>
      </c>
      <c r="I8" s="88">
        <f t="shared" si="10"/>
        <v>81899.541284334526</v>
      </c>
      <c r="J8" s="88">
        <f t="shared" si="11"/>
        <v>82354.956123604847</v>
      </c>
      <c r="K8" s="88">
        <f t="shared" si="12"/>
        <v>82812.909653962211</v>
      </c>
      <c r="L8" s="88">
        <f t="shared" si="1"/>
        <v>80102.987857285698</v>
      </c>
      <c r="M8" s="87" t="s">
        <v>999</v>
      </c>
      <c r="N8" s="87">
        <f>622-$AD$19</f>
        <v>405</v>
      </c>
      <c r="O8" s="87">
        <v>0</v>
      </c>
      <c r="P8" s="87">
        <v>0</v>
      </c>
      <c r="Q8" s="87">
        <v>0</v>
      </c>
      <c r="R8" s="87">
        <f t="shared" si="2"/>
        <v>13.278688524590164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4237</v>
      </c>
      <c r="B9" s="86">
        <f t="shared" si="14"/>
        <v>97165.227914581468</v>
      </c>
      <c r="C9" s="86">
        <f t="shared" si="0"/>
        <v>97613.202048269552</v>
      </c>
      <c r="D9" s="86">
        <f t="shared" si="5"/>
        <v>97669.347300262249</v>
      </c>
      <c r="E9" s="86">
        <f t="shared" si="6"/>
        <v>97725.52561528224</v>
      </c>
      <c r="F9" s="86">
        <f t="shared" si="7"/>
        <v>97781.737013254096</v>
      </c>
      <c r="G9" s="86">
        <f t="shared" si="8"/>
        <v>97837.981514112078</v>
      </c>
      <c r="H9" s="86">
        <f t="shared" si="9"/>
        <v>97894.259137805391</v>
      </c>
      <c r="I9" s="86">
        <f t="shared" si="10"/>
        <v>97950.569904293356</v>
      </c>
      <c r="J9" s="86">
        <f t="shared" si="11"/>
        <v>98006.913833548562</v>
      </c>
      <c r="K9" s="86">
        <f t="shared" si="12"/>
        <v>98063.290945557514</v>
      </c>
      <c r="L9" s="86">
        <f t="shared" si="1"/>
        <v>97725.52561528224</v>
      </c>
      <c r="M9" s="148" t="s">
        <v>4246</v>
      </c>
      <c r="N9" s="148">
        <f>259-$AD$19</f>
        <v>42</v>
      </c>
      <c r="O9" s="148">
        <v>0</v>
      </c>
      <c r="P9" s="148">
        <v>0</v>
      </c>
      <c r="Q9" s="148">
        <v>0</v>
      </c>
      <c r="R9" s="148">
        <f t="shared" si="2"/>
        <v>1.3770491803278688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988</v>
      </c>
      <c r="B10" s="191">
        <f t="shared" si="14"/>
        <v>72583.089476320572</v>
      </c>
      <c r="C10" s="191">
        <f t="shared" si="0"/>
        <v>76400.354846787028</v>
      </c>
      <c r="D10" s="191">
        <f t="shared" si="5"/>
        <v>76891.447706071616</v>
      </c>
      <c r="E10" s="191">
        <f t="shared" si="6"/>
        <v>77385.704043320264</v>
      </c>
      <c r="F10" s="191">
        <f t="shared" si="7"/>
        <v>77883.144280483757</v>
      </c>
      <c r="G10" s="191">
        <f t="shared" si="8"/>
        <v>78383.788971606045</v>
      </c>
      <c r="H10" s="191">
        <f t="shared" si="9"/>
        <v>78887.658803728176</v>
      </c>
      <c r="I10" s="191">
        <f t="shared" si="10"/>
        <v>79394.774597707918</v>
      </c>
      <c r="J10" s="191">
        <f t="shared" si="11"/>
        <v>79905.157309114249</v>
      </c>
      <c r="K10" s="191">
        <f t="shared" si="12"/>
        <v>80418.82802910704</v>
      </c>
      <c r="L10" s="191">
        <f t="shared" si="1"/>
        <v>77385.704043320264</v>
      </c>
      <c r="M10" s="190" t="s">
        <v>1000</v>
      </c>
      <c r="N10" s="190">
        <f>685-$AD$19</f>
        <v>468</v>
      </c>
      <c r="O10" s="190">
        <v>0</v>
      </c>
      <c r="P10" s="190">
        <v>0</v>
      </c>
      <c r="Q10" s="190">
        <v>0</v>
      </c>
      <c r="R10" s="190">
        <f t="shared" si="2"/>
        <v>15.344262295081966</v>
      </c>
      <c r="S10" s="191">
        <v>100000</v>
      </c>
      <c r="T10" s="191">
        <v>70000</v>
      </c>
      <c r="U10" s="191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73988.041939084491</v>
      </c>
      <c r="C11" s="88">
        <f t="shared" si="0"/>
        <v>77640.74061186894</v>
      </c>
      <c r="D11" s="88">
        <f t="shared" si="5"/>
        <v>78109.857867789033</v>
      </c>
      <c r="E11" s="88">
        <f t="shared" si="6"/>
        <v>78581.816083061611</v>
      </c>
      <c r="F11" s="88">
        <f t="shared" si="7"/>
        <v>79056.63250170766</v>
      </c>
      <c r="G11" s="88">
        <f t="shared" si="8"/>
        <v>79534.324472631371</v>
      </c>
      <c r="H11" s="88">
        <f t="shared" si="9"/>
        <v>80014.909450304767</v>
      </c>
      <c r="I11" s="88">
        <f t="shared" si="10"/>
        <v>80498.404995370962</v>
      </c>
      <c r="J11" s="88">
        <f t="shared" si="11"/>
        <v>80984.828775316972</v>
      </c>
      <c r="K11" s="88">
        <f t="shared" si="12"/>
        <v>81474.198565131475</v>
      </c>
      <c r="L11" s="88">
        <f t="shared" si="1"/>
        <v>78581.816083061611</v>
      </c>
      <c r="M11" s="87" t="s">
        <v>1001</v>
      </c>
      <c r="N11" s="87">
        <f>657-$AD$19</f>
        <v>440</v>
      </c>
      <c r="O11" s="87">
        <v>0</v>
      </c>
      <c r="P11" s="87">
        <v>0</v>
      </c>
      <c r="Q11" s="87">
        <v>0</v>
      </c>
      <c r="R11" s="87">
        <f t="shared" si="2"/>
        <v>14.426229508196721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73988.041939084491</v>
      </c>
      <c r="C12" s="86">
        <f t="shared" si="0"/>
        <v>77640.74061186894</v>
      </c>
      <c r="D12" s="86">
        <f t="shared" si="5"/>
        <v>78109.857867789033</v>
      </c>
      <c r="E12" s="86">
        <f t="shared" si="6"/>
        <v>78581.816083061611</v>
      </c>
      <c r="F12" s="86">
        <f t="shared" si="7"/>
        <v>79056.63250170766</v>
      </c>
      <c r="G12" s="86">
        <f t="shared" si="8"/>
        <v>79534.324472631371</v>
      </c>
      <c r="H12" s="86">
        <f t="shared" si="9"/>
        <v>80014.909450304767</v>
      </c>
      <c r="I12" s="86">
        <f t="shared" si="10"/>
        <v>80498.404995370962</v>
      </c>
      <c r="J12" s="86">
        <f t="shared" si="11"/>
        <v>80984.828775316972</v>
      </c>
      <c r="K12" s="86">
        <f t="shared" si="12"/>
        <v>81474.198565131475</v>
      </c>
      <c r="L12" s="86">
        <f t="shared" si="1"/>
        <v>78581.816083061611</v>
      </c>
      <c r="M12" s="148" t="s">
        <v>1001</v>
      </c>
      <c r="N12" s="148">
        <f>657-$AD$19</f>
        <v>440</v>
      </c>
      <c r="O12" s="148">
        <v>0</v>
      </c>
      <c r="P12" s="148">
        <v>0</v>
      </c>
      <c r="Q12" s="148">
        <v>0</v>
      </c>
      <c r="R12" s="148">
        <f t="shared" si="2"/>
        <v>14.426229508196721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991</v>
      </c>
      <c r="B13" s="191">
        <f t="shared" si="14"/>
        <v>76880.058026907282</v>
      </c>
      <c r="C13" s="191">
        <f t="shared" si="0"/>
        <v>80182.253345945181</v>
      </c>
      <c r="D13" s="191">
        <f t="shared" si="5"/>
        <v>80604.904348103621</v>
      </c>
      <c r="E13" s="191">
        <f t="shared" si="6"/>
        <v>81029.789030553526</v>
      </c>
      <c r="F13" s="191">
        <f t="shared" si="7"/>
        <v>81456.919228969375</v>
      </c>
      <c r="G13" s="191">
        <f t="shared" si="8"/>
        <v>81886.306841882615</v>
      </c>
      <c r="H13" s="191">
        <f t="shared" si="9"/>
        <v>82317.963831057248</v>
      </c>
      <c r="I13" s="191">
        <f t="shared" si="10"/>
        <v>82751.902221790107</v>
      </c>
      <c r="J13" s="191">
        <f t="shared" si="11"/>
        <v>83188.13410327227</v>
      </c>
      <c r="K13" s="191">
        <f t="shared" si="12"/>
        <v>83626.671628934855</v>
      </c>
      <c r="L13" s="191">
        <f t="shared" si="1"/>
        <v>81029.789030553526</v>
      </c>
      <c r="M13" s="190" t="s">
        <v>993</v>
      </c>
      <c r="N13" s="190">
        <f>601-$AD$19</f>
        <v>384</v>
      </c>
      <c r="O13" s="190">
        <v>0</v>
      </c>
      <c r="P13" s="190">
        <v>0</v>
      </c>
      <c r="Q13" s="190">
        <v>0</v>
      </c>
      <c r="R13" s="190">
        <f t="shared" si="2"/>
        <v>12.590163934426229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81710.667029058299</v>
      </c>
      <c r="C14" s="88">
        <f t="shared" si="0"/>
        <v>84393.717798701633</v>
      </c>
      <c r="D14" s="88">
        <f t="shared" si="5"/>
        <v>84735.256373081487</v>
      </c>
      <c r="E14" s="88">
        <f t="shared" si="6"/>
        <v>85078.181847157641</v>
      </c>
      <c r="F14" s="88">
        <f t="shared" si="7"/>
        <v>85422.499871882275</v>
      </c>
      <c r="G14" s="88">
        <f t="shared" si="8"/>
        <v>85768.216121294041</v>
      </c>
      <c r="H14" s="88">
        <f t="shared" si="9"/>
        <v>86115.336292645399</v>
      </c>
      <c r="I14" s="88">
        <f t="shared" si="10"/>
        <v>86463.866106468457</v>
      </c>
      <c r="J14" s="88">
        <f t="shared" si="11"/>
        <v>86813.811306689066</v>
      </c>
      <c r="K14" s="88">
        <f t="shared" si="12"/>
        <v>87165.177660727059</v>
      </c>
      <c r="L14" s="88">
        <f t="shared" si="1"/>
        <v>85078.181847157641</v>
      </c>
      <c r="M14" s="87" t="s">
        <v>3857</v>
      </c>
      <c r="N14" s="87">
        <f>512-$AD$19</f>
        <v>295</v>
      </c>
      <c r="O14" s="87">
        <v>0</v>
      </c>
      <c r="P14" s="87">
        <v>0</v>
      </c>
      <c r="Q14" s="87">
        <v>0</v>
      </c>
      <c r="R14" s="87">
        <f t="shared" si="2"/>
        <v>9.6721311475409841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63424.273367511938</v>
      </c>
      <c r="C15" s="57">
        <f t="shared" si="0"/>
        <v>68215.885835573761</v>
      </c>
      <c r="D15" s="57">
        <f t="shared" si="5"/>
        <v>68839.787268702261</v>
      </c>
      <c r="E15" s="57">
        <f t="shared" si="6"/>
        <v>69469.403553927375</v>
      </c>
      <c r="F15" s="57">
        <f t="shared" si="7"/>
        <v>70104.787117849846</v>
      </c>
      <c r="G15" s="57">
        <f t="shared" si="8"/>
        <v>70745.990868715977</v>
      </c>
      <c r="H15" s="57">
        <f t="shared" si="9"/>
        <v>71393.068200910289</v>
      </c>
      <c r="I15" s="57">
        <f t="shared" si="10"/>
        <v>72046.072999374112</v>
      </c>
      <c r="J15" s="57">
        <f t="shared" si="11"/>
        <v>72705.059644154011</v>
      </c>
      <c r="K15" s="57">
        <f t="shared" si="12"/>
        <v>73370.083014966236</v>
      </c>
      <c r="L15" s="57">
        <f t="shared" si="1"/>
        <v>69469.403553927375</v>
      </c>
      <c r="M15" s="12" t="s">
        <v>3911</v>
      </c>
      <c r="N15" s="12">
        <f>882-$AD$19</f>
        <v>665</v>
      </c>
      <c r="O15" s="12">
        <v>0</v>
      </c>
      <c r="P15" s="12">
        <v>0</v>
      </c>
      <c r="Q15" s="12">
        <v>0</v>
      </c>
      <c r="R15" s="12">
        <f t="shared" si="2"/>
        <v>21.803278688524589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62219.915383014071</v>
      </c>
      <c r="C16" s="86">
        <f t="shared" si="0"/>
        <v>67126.0712218017</v>
      </c>
      <c r="D16" s="86">
        <f t="shared" si="5"/>
        <v>67765.977910597649</v>
      </c>
      <c r="E16" s="86">
        <f t="shared" si="6"/>
        <v>68411.993657766754</v>
      </c>
      <c r="F16" s="86">
        <f t="shared" si="7"/>
        <v>69064.176870095747</v>
      </c>
      <c r="G16" s="86">
        <f t="shared" si="8"/>
        <v>69722.58651356012</v>
      </c>
      <c r="H16" s="86">
        <f t="shared" si="9"/>
        <v>70387.282118748335</v>
      </c>
      <c r="I16" s="86">
        <f t="shared" si="10"/>
        <v>71058.323786219742</v>
      </c>
      <c r="J16" s="86">
        <f t="shared" si="11"/>
        <v>71735.772192004879</v>
      </c>
      <c r="K16" s="86">
        <f t="shared" si="12"/>
        <v>72419.688593132654</v>
      </c>
      <c r="L16" s="86">
        <f t="shared" si="1"/>
        <v>68411.993657766754</v>
      </c>
      <c r="M16" s="148" t="s">
        <v>4223</v>
      </c>
      <c r="N16" s="148">
        <f>910-$AD$19</f>
        <v>693</v>
      </c>
      <c r="O16" s="148">
        <v>0</v>
      </c>
      <c r="P16" s="148">
        <v>0</v>
      </c>
      <c r="Q16" s="148">
        <v>0</v>
      </c>
      <c r="R16" s="148">
        <f t="shared" si="2"/>
        <v>22.721311475409838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4238</v>
      </c>
      <c r="B17" s="191">
        <f t="shared" si="14"/>
        <v>96700.640945321022</v>
      </c>
      <c r="C17" s="191">
        <f t="shared" si="0"/>
        <v>97220.978077384629</v>
      </c>
      <c r="D17" s="191">
        <f t="shared" si="5"/>
        <v>97286.22079821935</v>
      </c>
      <c r="E17" s="191">
        <f t="shared" si="6"/>
        <v>97351.508196054492</v>
      </c>
      <c r="F17" s="191">
        <f t="shared" si="7"/>
        <v>97416.840302097786</v>
      </c>
      <c r="G17" s="191">
        <f t="shared" si="8"/>
        <v>97482.217147576128</v>
      </c>
      <c r="H17" s="191">
        <f t="shared" si="9"/>
        <v>97547.63876374175</v>
      </c>
      <c r="I17" s="191">
        <f t="shared" si="10"/>
        <v>97613.105181866675</v>
      </c>
      <c r="J17" s="191">
        <f t="shared" si="11"/>
        <v>97678.616433246279</v>
      </c>
      <c r="K17" s="191">
        <f t="shared" si="12"/>
        <v>97744.172549200041</v>
      </c>
      <c r="L17" s="191">
        <f t="shared" si="1"/>
        <v>97351.508196054492</v>
      </c>
      <c r="M17" s="190" t="s">
        <v>4247</v>
      </c>
      <c r="N17" s="190">
        <f>266-$AD$19</f>
        <v>49</v>
      </c>
      <c r="O17" s="190">
        <v>0</v>
      </c>
      <c r="P17" s="190">
        <v>0</v>
      </c>
      <c r="Q17" s="190">
        <v>0</v>
      </c>
      <c r="R17" s="190">
        <f t="shared" si="2"/>
        <v>1.6065573770491803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4239</v>
      </c>
      <c r="B18" s="88">
        <f t="shared" si="14"/>
        <v>94475.480098813918</v>
      </c>
      <c r="C18" s="88">
        <f t="shared" si="0"/>
        <v>95338.192711435928</v>
      </c>
      <c r="D18" s="88">
        <f t="shared" si="5"/>
        <v>95446.590918877977</v>
      </c>
      <c r="E18" s="88">
        <f t="shared" si="6"/>
        <v>95555.113860197758</v>
      </c>
      <c r="F18" s="88">
        <f t="shared" si="7"/>
        <v>95663.761680639756</v>
      </c>
      <c r="G18" s="88">
        <f t="shared" si="8"/>
        <v>95772.53452561445</v>
      </c>
      <c r="H18" s="88">
        <f t="shared" si="9"/>
        <v>95881.43254070876</v>
      </c>
      <c r="I18" s="88">
        <f t="shared" si="10"/>
        <v>95990.455871677026</v>
      </c>
      <c r="J18" s="88">
        <f t="shared" si="11"/>
        <v>96099.604664447164</v>
      </c>
      <c r="K18" s="88">
        <f t="shared" si="12"/>
        <v>96208.879065121873</v>
      </c>
      <c r="L18" s="88">
        <f t="shared" si="1"/>
        <v>95555.113860197758</v>
      </c>
      <c r="M18" s="87" t="s">
        <v>4248</v>
      </c>
      <c r="N18" s="87">
        <f>300-$AD$19</f>
        <v>83</v>
      </c>
      <c r="O18" s="87">
        <v>0</v>
      </c>
      <c r="P18" s="87">
        <v>0</v>
      </c>
      <c r="Q18" s="87">
        <v>0</v>
      </c>
      <c r="R18" s="87">
        <f t="shared" si="2"/>
        <v>2.721311475409836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4240</v>
      </c>
      <c r="B19" s="57">
        <f t="shared" si="14"/>
        <v>57390.620256246388</v>
      </c>
      <c r="C19" s="57">
        <f t="shared" si="0"/>
        <v>62721.332622399401</v>
      </c>
      <c r="D19" s="57">
        <f t="shared" si="5"/>
        <v>63421.625524841642</v>
      </c>
      <c r="E19" s="57">
        <f t="shared" si="6"/>
        <v>64129.747049220387</v>
      </c>
      <c r="F19" s="57">
        <f t="shared" si="7"/>
        <v>64845.784821232854</v>
      </c>
      <c r="G19" s="57">
        <f t="shared" si="8"/>
        <v>65569.827448555458</v>
      </c>
      <c r="H19" s="57">
        <f t="shared" si="9"/>
        <v>66301.96453193108</v>
      </c>
      <c r="I19" s="57">
        <f t="shared" si="10"/>
        <v>67042.286676250369</v>
      </c>
      <c r="J19" s="57">
        <f t="shared" si="11"/>
        <v>67790.885501858575</v>
      </c>
      <c r="K19" s="57">
        <f t="shared" si="12"/>
        <v>68547.853655959887</v>
      </c>
      <c r="L19" s="57">
        <f t="shared" si="1"/>
        <v>64129.747049220387</v>
      </c>
      <c r="M19" s="12" t="s">
        <v>4249</v>
      </c>
      <c r="N19" s="12">
        <f>1028-$AD$19</f>
        <v>811</v>
      </c>
      <c r="O19" s="12">
        <v>0</v>
      </c>
      <c r="P19" s="12">
        <v>0</v>
      </c>
      <c r="Q19" s="12">
        <v>0</v>
      </c>
      <c r="R19" s="12">
        <f t="shared" si="2"/>
        <v>26.590163934426229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217</v>
      </c>
      <c r="AF19" s="26"/>
    </row>
    <row r="20" spans="1:32" ht="22.5" customHeight="1" x14ac:dyDescent="0.25">
      <c r="A20" s="148" t="s">
        <v>4241</v>
      </c>
      <c r="B20" s="86">
        <f t="shared" si="14"/>
        <v>81710.667029058299</v>
      </c>
      <c r="C20" s="86">
        <f t="shared" si="0"/>
        <v>84393.717798701633</v>
      </c>
      <c r="D20" s="86">
        <f t="shared" si="5"/>
        <v>84735.256373081487</v>
      </c>
      <c r="E20" s="86">
        <f t="shared" si="6"/>
        <v>85078.181847157641</v>
      </c>
      <c r="F20" s="86">
        <f t="shared" si="7"/>
        <v>85422.499871882275</v>
      </c>
      <c r="G20" s="86">
        <f t="shared" si="8"/>
        <v>85768.216121294041</v>
      </c>
      <c r="H20" s="86">
        <f t="shared" si="9"/>
        <v>86115.336292645399</v>
      </c>
      <c r="I20" s="86">
        <f t="shared" si="10"/>
        <v>86463.866106468457</v>
      </c>
      <c r="J20" s="86">
        <f t="shared" si="11"/>
        <v>86813.811306689066</v>
      </c>
      <c r="K20" s="86">
        <f t="shared" si="12"/>
        <v>87165.177660727059</v>
      </c>
      <c r="L20" s="86">
        <f t="shared" si="1"/>
        <v>85078.181847157641</v>
      </c>
      <c r="M20" s="148" t="s">
        <v>3857</v>
      </c>
      <c r="N20" s="148">
        <f>512-$AD$19</f>
        <v>295</v>
      </c>
      <c r="O20" s="148">
        <v>0</v>
      </c>
      <c r="P20" s="148">
        <v>0</v>
      </c>
      <c r="Q20" s="148">
        <v>0</v>
      </c>
      <c r="R20" s="148">
        <f t="shared" si="2"/>
        <v>9.6721311475409841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4242</v>
      </c>
      <c r="B21" s="191">
        <f t="shared" si="14"/>
        <v>65007.051107973108</v>
      </c>
      <c r="C21" s="191">
        <f>$S21/(1+($C$1-$O21+$P21)/36500)^$N21</f>
        <v>69643.114765743187</v>
      </c>
      <c r="D21" s="191">
        <f t="shared" si="5"/>
        <v>70245.439174928862</v>
      </c>
      <c r="E21" s="191">
        <f t="shared" si="6"/>
        <v>70852.981278176056</v>
      </c>
      <c r="F21" s="191">
        <f t="shared" si="7"/>
        <v>71465.786346649606</v>
      </c>
      <c r="G21" s="191">
        <f t="shared" si="8"/>
        <v>72083.900044906695</v>
      </c>
      <c r="H21" s="191">
        <f t="shared" si="9"/>
        <v>72707.36843437978</v>
      </c>
      <c r="I21" s="191">
        <f t="shared" si="10"/>
        <v>73336.237976778459</v>
      </c>
      <c r="J21" s="191">
        <f t="shared" si="11"/>
        <v>73970.555537606691</v>
      </c>
      <c r="K21" s="191">
        <f t="shared" si="12"/>
        <v>74610.368389685973</v>
      </c>
      <c r="L21" s="191">
        <f t="shared" si="1"/>
        <v>70852.981278176056</v>
      </c>
      <c r="M21" s="190" t="s">
        <v>4250</v>
      </c>
      <c r="N21" s="190">
        <f>846-$AD$19</f>
        <v>629</v>
      </c>
      <c r="O21" s="190">
        <v>0</v>
      </c>
      <c r="P21" s="190">
        <v>0</v>
      </c>
      <c r="Q21" s="190">
        <v>0</v>
      </c>
      <c r="R21" s="190">
        <f t="shared" si="2"/>
        <v>20.622950819672131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4306</v>
      </c>
      <c r="B22" s="191">
        <f t="shared" si="14"/>
        <v>78314.544537586742</v>
      </c>
      <c r="C22" s="191">
        <f>$S22/(1+($C$1-$O22+$P22)/36500)^$N22</f>
        <v>81437.185249428221</v>
      </c>
      <c r="D22" s="191">
        <f t="shared" si="5"/>
        <v>81836.19458360353</v>
      </c>
      <c r="E22" s="191">
        <f t="shared" si="6"/>
        <v>82237.164405487463</v>
      </c>
      <c r="F22" s="191">
        <f t="shared" si="7"/>
        <v>82640.10437476552</v>
      </c>
      <c r="G22" s="191">
        <f t="shared" si="8"/>
        <v>83045.024198832121</v>
      </c>
      <c r="H22" s="191">
        <f t="shared" si="9"/>
        <v>83451.93363306555</v>
      </c>
      <c r="I22" s="191">
        <f t="shared" si="10"/>
        <v>83860.842481031345</v>
      </c>
      <c r="J22" s="191">
        <f t="shared" si="11"/>
        <v>84271.76059474262</v>
      </c>
      <c r="K22" s="191">
        <f t="shared" si="12"/>
        <v>84684.697874905323</v>
      </c>
      <c r="L22" s="191">
        <f t="shared" si="1"/>
        <v>82237.164405487463</v>
      </c>
      <c r="M22" s="190" t="s">
        <v>4307</v>
      </c>
      <c r="N22" s="190">
        <f>574-$AD$19</f>
        <v>357</v>
      </c>
      <c r="O22" s="190">
        <v>0</v>
      </c>
      <c r="P22" s="190"/>
      <c r="Q22" s="190">
        <v>0</v>
      </c>
      <c r="R22" s="190">
        <f t="shared" si="2"/>
        <v>11.704918032786885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4243</v>
      </c>
      <c r="B23" s="88">
        <f t="shared" si="14"/>
        <v>83064.489322571622</v>
      </c>
      <c r="C23" s="88">
        <f t="shared" ref="C23:C37" si="16">$S23/(1+($C$1-$O23+$P23)/36500)^$N23</f>
        <v>85566.787694942497</v>
      </c>
      <c r="D23" s="88">
        <f t="shared" si="5"/>
        <v>85884.848935661168</v>
      </c>
      <c r="E23" s="88">
        <f t="shared" si="6"/>
        <v>86204.096824173757</v>
      </c>
      <c r="F23" s="88">
        <f t="shared" si="7"/>
        <v>86524.535804063504</v>
      </c>
      <c r="G23" s="88">
        <f t="shared" si="8"/>
        <v>86846.170335599381</v>
      </c>
      <c r="H23" s="88">
        <f t="shared" si="9"/>
        <v>87169.004895829392</v>
      </c>
      <c r="I23" s="88">
        <f t="shared" si="10"/>
        <v>87493.043978616435</v>
      </c>
      <c r="J23" s="88">
        <f t="shared" si="11"/>
        <v>87818.292094719145</v>
      </c>
      <c r="K23" s="88">
        <f t="shared" si="12"/>
        <v>88144.753771859498</v>
      </c>
      <c r="L23" s="88">
        <f t="shared" si="1"/>
        <v>86204.096824173757</v>
      </c>
      <c r="M23" s="87" t="s">
        <v>4251</v>
      </c>
      <c r="N23" s="87">
        <f>488-$AD$19</f>
        <v>271</v>
      </c>
      <c r="O23" s="87">
        <v>0</v>
      </c>
      <c r="P23" s="87">
        <v>0</v>
      </c>
      <c r="Q23" s="87">
        <v>0</v>
      </c>
      <c r="R23" s="87">
        <f t="shared" si="2"/>
        <v>8.8852459016393439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4244</v>
      </c>
      <c r="B24" s="86">
        <f t="shared" si="14"/>
        <v>81319.974679891457</v>
      </c>
      <c r="C24" s="86">
        <f t="shared" si="16"/>
        <v>84054.611628448358</v>
      </c>
      <c r="D24" s="86">
        <f t="shared" si="5"/>
        <v>84402.866290918653</v>
      </c>
      <c r="E24" s="86">
        <f t="shared" si="6"/>
        <v>84752.568638052704</v>
      </c>
      <c r="F24" s="86">
        <f t="shared" si="7"/>
        <v>85103.724707786227</v>
      </c>
      <c r="G24" s="86">
        <f t="shared" si="8"/>
        <v>85456.340563304228</v>
      </c>
      <c r="H24" s="86">
        <f t="shared" si="9"/>
        <v>85810.422293180396</v>
      </c>
      <c r="I24" s="86">
        <f t="shared" si="10"/>
        <v>86165.976011453531</v>
      </c>
      <c r="J24" s="86">
        <f t="shared" si="11"/>
        <v>86523.007857753561</v>
      </c>
      <c r="K24" s="86">
        <f t="shared" si="12"/>
        <v>86881.523997413344</v>
      </c>
      <c r="L24" s="86">
        <f t="shared" si="1"/>
        <v>84752.568638052704</v>
      </c>
      <c r="M24" s="148" t="s">
        <v>4252</v>
      </c>
      <c r="N24" s="148">
        <f>519-$AD$19</f>
        <v>302</v>
      </c>
      <c r="O24" s="148">
        <v>0</v>
      </c>
      <c r="P24" s="148">
        <v>0</v>
      </c>
      <c r="Q24" s="148">
        <v>0</v>
      </c>
      <c r="R24" s="148">
        <f t="shared" si="2"/>
        <v>9.9016393442622945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1005</v>
      </c>
      <c r="B25" s="191">
        <f t="shared" si="14"/>
        <v>75877.091053814103</v>
      </c>
      <c r="C25" s="191">
        <f t="shared" si="16"/>
        <v>86349.819178832986</v>
      </c>
      <c r="D25" s="191">
        <f t="shared" si="5"/>
        <v>87756.786155178183</v>
      </c>
      <c r="E25" s="191">
        <f t="shared" si="6"/>
        <v>89186.697719063784</v>
      </c>
      <c r="F25" s="191">
        <f t="shared" si="7"/>
        <v>90639.928369016197</v>
      </c>
      <c r="G25" s="191">
        <f t="shared" si="8"/>
        <v>92116.858721412587</v>
      </c>
      <c r="H25" s="191">
        <f t="shared" si="9"/>
        <v>93617.8756104411</v>
      </c>
      <c r="I25" s="191">
        <f t="shared" si="10"/>
        <v>95143.372189626098</v>
      </c>
      <c r="J25" s="191">
        <f t="shared" si="11"/>
        <v>96693.748035446944</v>
      </c>
      <c r="K25" s="191">
        <f t="shared" si="12"/>
        <v>98269.40925204732</v>
      </c>
      <c r="L25" s="191">
        <f t="shared" si="1"/>
        <v>89186.697719063784</v>
      </c>
      <c r="M25" s="190" t="s">
        <v>1006</v>
      </c>
      <c r="N25" s="190">
        <f>1397-$AD$19</f>
        <v>1180</v>
      </c>
      <c r="O25" s="190">
        <v>17</v>
      </c>
      <c r="P25" s="190">
        <f>$AI$2</f>
        <v>0.54</v>
      </c>
      <c r="Q25" s="190">
        <v>6</v>
      </c>
      <c r="R25" s="190">
        <f t="shared" si="2"/>
        <v>38.688524590163937</v>
      </c>
      <c r="S25" s="191">
        <v>100000</v>
      </c>
      <c r="T25" s="191">
        <v>96000</v>
      </c>
      <c r="U25" s="191">
        <f t="shared" si="3"/>
        <v>170214.14575131141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95798.728830499851</v>
      </c>
      <c r="C26" s="88">
        <f t="shared" si="16"/>
        <v>99511.597297971632</v>
      </c>
      <c r="D26" s="88">
        <f t="shared" si="5"/>
        <v>99985.740745687712</v>
      </c>
      <c r="E26" s="88">
        <f t="shared" si="6"/>
        <v>100462.14988888617</v>
      </c>
      <c r="F26" s="88">
        <f t="shared" si="7"/>
        <v>100940.83558546389</v>
      </c>
      <c r="G26" s="88">
        <f t="shared" si="8"/>
        <v>101421.8087454928</v>
      </c>
      <c r="H26" s="88">
        <f t="shared" si="9"/>
        <v>101905.08033148815</v>
      </c>
      <c r="I26" s="88">
        <f t="shared" si="10"/>
        <v>102390.66135863888</v>
      </c>
      <c r="J26" s="88">
        <f t="shared" si="11"/>
        <v>102878.56289509476</v>
      </c>
      <c r="K26" s="88">
        <f t="shared" si="12"/>
        <v>103368.7960621938</v>
      </c>
      <c r="L26" s="88">
        <f t="shared" si="1"/>
        <v>100462.14988888617</v>
      </c>
      <c r="M26" s="87" t="s">
        <v>977</v>
      </c>
      <c r="N26" s="87">
        <f>564-$AD$19</f>
        <v>347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11.377049180327869</v>
      </c>
      <c r="S26" s="88">
        <v>100000</v>
      </c>
      <c r="T26" s="88">
        <v>100000</v>
      </c>
      <c r="U26" s="88">
        <f t="shared" si="3"/>
        <v>121490.89135056295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90948.484050192419</v>
      </c>
      <c r="C27" s="57">
        <f t="shared" si="16"/>
        <v>94649.011751149985</v>
      </c>
      <c r="D27" s="57">
        <f t="shared" si="5"/>
        <v>95122.070437593866</v>
      </c>
      <c r="E27" s="57">
        <f t="shared" si="6"/>
        <v>95597.500014025238</v>
      </c>
      <c r="F27" s="57">
        <f t="shared" si="7"/>
        <v>96075.312395642875</v>
      </c>
      <c r="G27" s="57">
        <f t="shared" si="8"/>
        <v>96555.519557725231</v>
      </c>
      <c r="H27" s="57">
        <f t="shared" si="9"/>
        <v>97038.133535872112</v>
      </c>
      <c r="I27" s="57">
        <f t="shared" si="10"/>
        <v>97523.166426355645</v>
      </c>
      <c r="J27" s="57">
        <f t="shared" si="11"/>
        <v>98010.630386411634</v>
      </c>
      <c r="K27" s="57">
        <f t="shared" si="12"/>
        <v>98500.537634525273</v>
      </c>
      <c r="L27" s="57">
        <f t="shared" si="1"/>
        <v>95597.500014025238</v>
      </c>
      <c r="M27" s="12" t="s">
        <v>978</v>
      </c>
      <c r="N27" s="12">
        <f>581-$AD$19</f>
        <v>364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11.934426229508198</v>
      </c>
      <c r="S27" s="57">
        <v>100000</v>
      </c>
      <c r="T27" s="57">
        <v>92000</v>
      </c>
      <c r="U27" s="57">
        <f t="shared" si="3"/>
        <v>116690.24699184892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94984.596682455594</v>
      </c>
      <c r="C28" s="86">
        <f t="shared" si="16"/>
        <v>99414.76445088067</v>
      </c>
      <c r="D28" s="86">
        <f t="shared" si="5"/>
        <v>99982.905574367513</v>
      </c>
      <c r="E28" s="86">
        <f t="shared" si="6"/>
        <v>100554.30139250914</v>
      </c>
      <c r="F28" s="86">
        <f t="shared" si="7"/>
        <v>101128.970595363</v>
      </c>
      <c r="G28" s="86">
        <f t="shared" si="8"/>
        <v>101706.93198056139</v>
      </c>
      <c r="H28" s="86">
        <f t="shared" si="9"/>
        <v>102288.20445395233</v>
      </c>
      <c r="I28" s="86">
        <f t="shared" si="10"/>
        <v>102872.80703019706</v>
      </c>
      <c r="J28" s="86">
        <f t="shared" si="11"/>
        <v>103460.75883343787</v>
      </c>
      <c r="K28" s="86">
        <f t="shared" si="12"/>
        <v>104052.07909789642</v>
      </c>
      <c r="L28" s="86">
        <f t="shared" si="1"/>
        <v>100554.30139250914</v>
      </c>
      <c r="M28" s="148" t="s">
        <v>979</v>
      </c>
      <c r="N28" s="148">
        <f>633-$AD$19</f>
        <v>416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13.639344262295081</v>
      </c>
      <c r="S28" s="86">
        <v>100000</v>
      </c>
      <c r="T28" s="86">
        <v>100000</v>
      </c>
      <c r="U28" s="86">
        <f t="shared" si="3"/>
        <v>126285.94119450086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94189.032936334479</v>
      </c>
      <c r="C29" s="94">
        <f t="shared" si="16"/>
        <v>99319.427166524663</v>
      </c>
      <c r="D29" s="90">
        <f t="shared" si="5"/>
        <v>99980.111571140922</v>
      </c>
      <c r="E29" s="90">
        <f t="shared" si="6"/>
        <v>100645.2000663806</v>
      </c>
      <c r="F29" s="90">
        <f t="shared" si="7"/>
        <v>101314.72207064451</v>
      </c>
      <c r="G29" s="90">
        <f t="shared" si="8"/>
        <v>101988.70719923651</v>
      </c>
      <c r="H29" s="90">
        <f t="shared" si="9"/>
        <v>102667.18526570789</v>
      </c>
      <c r="I29" s="90">
        <f t="shared" si="10"/>
        <v>103350.18628315543</v>
      </c>
      <c r="J29" s="90">
        <f t="shared" si="11"/>
        <v>104037.74046560674</v>
      </c>
      <c r="K29" s="90">
        <f t="shared" si="12"/>
        <v>104729.8782293289</v>
      </c>
      <c r="L29" s="92">
        <f t="shared" si="1"/>
        <v>100645.2000663806</v>
      </c>
      <c r="M29" s="91" t="s">
        <v>980</v>
      </c>
      <c r="N29" s="91">
        <f>701-$AD$19</f>
        <v>484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15.868852459016393</v>
      </c>
      <c r="S29" s="92">
        <v>100000</v>
      </c>
      <c r="T29" s="92">
        <v>100000</v>
      </c>
      <c r="U29" s="92">
        <f t="shared" si="3"/>
        <v>131196.62118418646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90014.522224792658</v>
      </c>
      <c r="C30" s="94">
        <f t="shared" si="16"/>
        <v>95198.344822816478</v>
      </c>
      <c r="D30" s="90">
        <f t="shared" si="5"/>
        <v>95867.011024582214</v>
      </c>
      <c r="E30" s="90">
        <f t="shared" si="6"/>
        <v>96540.383144542386</v>
      </c>
      <c r="F30" s="90">
        <f t="shared" si="7"/>
        <v>97218.494367015068</v>
      </c>
      <c r="G30" s="90">
        <f t="shared" si="8"/>
        <v>97901.378110753139</v>
      </c>
      <c r="H30" s="90">
        <f t="shared" si="9"/>
        <v>98589.068030661787</v>
      </c>
      <c r="I30" s="90">
        <f t="shared" si="10"/>
        <v>99281.598019403376</v>
      </c>
      <c r="J30" s="90">
        <f t="shared" si="11"/>
        <v>99979.002209162485</v>
      </c>
      <c r="K30" s="90">
        <f t="shared" si="12"/>
        <v>100681.31497325643</v>
      </c>
      <c r="L30" s="94">
        <f t="shared" si="1"/>
        <v>96540.383144542386</v>
      </c>
      <c r="M30" s="93" t="s">
        <v>1004</v>
      </c>
      <c r="N30" s="93">
        <f>728-$AD$19</f>
        <v>511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16.754098360655739</v>
      </c>
      <c r="S30" s="94">
        <v>100000</v>
      </c>
      <c r="T30" s="94">
        <v>95000</v>
      </c>
      <c r="U30" s="94">
        <f t="shared" si="3"/>
        <v>127721.38439144277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88839.791362457559</v>
      </c>
      <c r="C31" s="86">
        <f t="shared" si="16"/>
        <v>93370.722605033254</v>
      </c>
      <c r="D31" s="86">
        <f t="shared" si="5"/>
        <v>93953.13693758045</v>
      </c>
      <c r="E31" s="86">
        <f t="shared" si="6"/>
        <v>94539.192221653924</v>
      </c>
      <c r="F31" s="86">
        <f t="shared" si="7"/>
        <v>95128.911268904398</v>
      </c>
      <c r="G31" s="86">
        <f t="shared" si="8"/>
        <v>95722.317034261985</v>
      </c>
      <c r="H31" s="86">
        <f t="shared" si="9"/>
        <v>96319.432616760882</v>
      </c>
      <c r="I31" s="86">
        <f t="shared" si="10"/>
        <v>96920.281260503718</v>
      </c>
      <c r="J31" s="86">
        <f t="shared" si="11"/>
        <v>97524.886355555253</v>
      </c>
      <c r="K31" s="86">
        <f t="shared" si="12"/>
        <v>98133.271438833573</v>
      </c>
      <c r="L31" s="86">
        <f t="shared" si="1"/>
        <v>94539.192221653924</v>
      </c>
      <c r="M31" s="148" t="s">
        <v>981</v>
      </c>
      <c r="N31" s="148">
        <f>671-$AD$19</f>
        <v>454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14.885245901639344</v>
      </c>
      <c r="S31" s="86">
        <v>100000</v>
      </c>
      <c r="T31" s="86">
        <v>90600</v>
      </c>
      <c r="U31" s="86">
        <f t="shared" si="3"/>
        <v>121229.70210637947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80112.271896584571</v>
      </c>
      <c r="C32" s="94">
        <f t="shared" si="16"/>
        <v>87145.030296505691</v>
      </c>
      <c r="D32" s="90">
        <f t="shared" si="5"/>
        <v>88066.523776368442</v>
      </c>
      <c r="E32" s="90">
        <f t="shared" si="6"/>
        <v>88997.774182021327</v>
      </c>
      <c r="F32" s="90">
        <f t="shared" si="7"/>
        <v>89938.88495718276</v>
      </c>
      <c r="G32" s="90">
        <f t="shared" si="8"/>
        <v>90889.960643748243</v>
      </c>
      <c r="H32" s="90">
        <f t="shared" si="9"/>
        <v>91851.106893380231</v>
      </c>
      <c r="I32" s="90">
        <f t="shared" si="10"/>
        <v>92822.430479442977</v>
      </c>
      <c r="J32" s="90">
        <f t="shared" si="11"/>
        <v>93804.039308783904</v>
      </c>
      <c r="K32" s="90">
        <f t="shared" si="12"/>
        <v>94796.042433905415</v>
      </c>
      <c r="L32" s="92">
        <f t="shared" si="1"/>
        <v>88997.774182021327</v>
      </c>
      <c r="M32" s="91" t="s">
        <v>982</v>
      </c>
      <c r="N32" s="91">
        <f>985-$AD$19</f>
        <v>768</v>
      </c>
      <c r="O32" s="91">
        <v>15</v>
      </c>
      <c r="P32" s="91">
        <f>$AI$2</f>
        <v>0.54</v>
      </c>
      <c r="Q32" s="91">
        <v>6</v>
      </c>
      <c r="R32" s="91">
        <f t="shared" si="2"/>
        <v>25.180327868852459</v>
      </c>
      <c r="S32" s="92">
        <v>100000</v>
      </c>
      <c r="T32" s="92">
        <v>85800</v>
      </c>
      <c r="U32" s="92">
        <f t="shared" si="3"/>
        <v>135541.29887755538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90486.839200658171</v>
      </c>
      <c r="C33" s="94">
        <f t="shared" si="16"/>
        <v>91945.346533477103</v>
      </c>
      <c r="D33" s="90">
        <f t="shared" si="5"/>
        <v>92129.316549582101</v>
      </c>
      <c r="E33" s="90">
        <f t="shared" si="6"/>
        <v>92313.657190734419</v>
      </c>
      <c r="F33" s="90">
        <f t="shared" si="7"/>
        <v>92498.369208687072</v>
      </c>
      <c r="G33" s="90">
        <f t="shared" si="8"/>
        <v>92683.453356719561</v>
      </c>
      <c r="H33" s="90">
        <f t="shared" si="9"/>
        <v>92868.910389658369</v>
      </c>
      <c r="I33" s="90">
        <f t="shared" si="10"/>
        <v>93054.74106386448</v>
      </c>
      <c r="J33" s="90">
        <f t="shared" si="11"/>
        <v>93240.946137246487</v>
      </c>
      <c r="K33" s="90">
        <f t="shared" si="12"/>
        <v>93427.52636926595</v>
      </c>
      <c r="L33" s="94">
        <f t="shared" si="1"/>
        <v>92313.657190734419</v>
      </c>
      <c r="M33" s="93" t="s">
        <v>983</v>
      </c>
      <c r="N33" s="93">
        <f>363-$AD$19</f>
        <v>146</v>
      </c>
      <c r="O33" s="93">
        <v>0</v>
      </c>
      <c r="P33" s="93">
        <v>0</v>
      </c>
      <c r="Q33" s="93">
        <v>0</v>
      </c>
      <c r="R33" s="93">
        <f t="shared" si="2"/>
        <v>4.7868852459016393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85230.308869626664</v>
      </c>
      <c r="C34" s="94">
        <f t="shared" si="16"/>
        <v>95654.541772309429</v>
      </c>
      <c r="D34" s="90">
        <f t="shared" si="5"/>
        <v>97044.275784996178</v>
      </c>
      <c r="E34" s="90">
        <f t="shared" si="6"/>
        <v>98454.220248547426</v>
      </c>
      <c r="F34" s="90">
        <f t="shared" si="7"/>
        <v>99884.669359924228</v>
      </c>
      <c r="G34" s="90">
        <f t="shared" si="8"/>
        <v>101335.92160269768</v>
      </c>
      <c r="H34" s="90">
        <f t="shared" si="9"/>
        <v>102808.27980963707</v>
      </c>
      <c r="I34" s="90">
        <f t="shared" si="10"/>
        <v>104302.05122609425</v>
      </c>
      <c r="J34" s="90">
        <f t="shared" si="11"/>
        <v>105817.54757436314</v>
      </c>
      <c r="K34" s="90">
        <f t="shared" si="12"/>
        <v>107355.0851190284</v>
      </c>
      <c r="L34" s="90">
        <f t="shared" si="1"/>
        <v>98454.220248547426</v>
      </c>
      <c r="M34" s="89" t="s">
        <v>974</v>
      </c>
      <c r="N34" s="89">
        <f>1270-$AD$19</f>
        <v>1053</v>
      </c>
      <c r="O34" s="89">
        <v>20</v>
      </c>
      <c r="P34" s="89">
        <f>$AI$2</f>
        <v>0.54</v>
      </c>
      <c r="Q34" s="89">
        <v>6</v>
      </c>
      <c r="R34" s="89">
        <f t="shared" si="2"/>
        <v>34.524590163934427</v>
      </c>
      <c r="S34" s="90">
        <v>100000</v>
      </c>
      <c r="T34" s="90">
        <v>100000</v>
      </c>
      <c r="U34" s="90">
        <f t="shared" si="3"/>
        <v>175272.7093928128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98689.398916372418</v>
      </c>
      <c r="C35" s="86">
        <f t="shared" si="16"/>
        <v>100182.20810294911</v>
      </c>
      <c r="D35" s="86">
        <f t="shared" si="5"/>
        <v>100370.40161497776</v>
      </c>
      <c r="E35" s="86">
        <f t="shared" si="6"/>
        <v>100558.95123618461</v>
      </c>
      <c r="F35" s="86">
        <f t="shared" si="7"/>
        <v>100747.85764531139</v>
      </c>
      <c r="G35" s="86">
        <f t="shared" si="8"/>
        <v>100937.12152239712</v>
      </c>
      <c r="H35" s="86">
        <f t="shared" si="9"/>
        <v>101126.74354879354</v>
      </c>
      <c r="I35" s="86">
        <f t="shared" si="10"/>
        <v>101316.72440715686</v>
      </c>
      <c r="J35" s="86">
        <f t="shared" si="11"/>
        <v>101507.06478145336</v>
      </c>
      <c r="K35" s="86">
        <f t="shared" si="12"/>
        <v>101697.76535696349</v>
      </c>
      <c r="L35" s="86">
        <f t="shared" si="1"/>
        <v>100558.95123618461</v>
      </c>
      <c r="M35" s="148" t="s">
        <v>976</v>
      </c>
      <c r="N35" s="148">
        <f>354-$AD$19</f>
        <v>137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4.4918032786885247</v>
      </c>
      <c r="S35" s="86">
        <v>100000</v>
      </c>
      <c r="T35" s="86">
        <v>103000</v>
      </c>
      <c r="U35" s="86">
        <f t="shared" si="3"/>
        <v>108394.89883292615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997</v>
      </c>
      <c r="B36" s="191">
        <f t="shared" si="14"/>
        <v>94068.463430882854</v>
      </c>
      <c r="C36" s="191">
        <f t="shared" si="16"/>
        <v>100000</v>
      </c>
      <c r="D36" s="191">
        <f t="shared" si="5"/>
        <v>100767.31770635882</v>
      </c>
      <c r="E36" s="191">
        <f t="shared" si="6"/>
        <v>101540.53380994717</v>
      </c>
      <c r="F36" s="191">
        <f t="shared" si="7"/>
        <v>102319.69373369002</v>
      </c>
      <c r="G36" s="191">
        <f t="shared" si="8"/>
        <v>103104.84325090797</v>
      </c>
      <c r="H36" s="191">
        <f t="shared" si="9"/>
        <v>103896.02848810176</v>
      </c>
      <c r="I36" s="191">
        <f t="shared" si="10"/>
        <v>104693.29592759917</v>
      </c>
      <c r="J36" s="191">
        <f t="shared" si="11"/>
        <v>105496.69241035951</v>
      </c>
      <c r="K36" s="191">
        <f t="shared" si="12"/>
        <v>106306.26513871516</v>
      </c>
      <c r="L36" s="191">
        <f t="shared" si="1"/>
        <v>101540.53380994717</v>
      </c>
      <c r="M36" s="190" t="s">
        <v>998</v>
      </c>
      <c r="N36" s="190">
        <f>775-$AD$19</f>
        <v>558</v>
      </c>
      <c r="O36" s="190">
        <v>21</v>
      </c>
      <c r="P36" s="190">
        <v>0</v>
      </c>
      <c r="Q36" s="190">
        <v>1</v>
      </c>
      <c r="R36" s="190">
        <f t="shared" si="2"/>
        <v>18.295081967213115</v>
      </c>
      <c r="S36" s="191">
        <v>100000</v>
      </c>
      <c r="T36" s="191">
        <v>104000</v>
      </c>
      <c r="U36" s="191">
        <f t="shared" si="3"/>
        <v>137838.65086669289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77057.75408305478</v>
      </c>
      <c r="C37" s="88">
        <f t="shared" si="16"/>
        <v>87061.565263706565</v>
      </c>
      <c r="D37" s="88">
        <f t="shared" si="5"/>
        <v>88400.179101686081</v>
      </c>
      <c r="E37" s="88">
        <f t="shared" si="6"/>
        <v>89759.393536984557</v>
      </c>
      <c r="F37" s="88">
        <f t="shared" si="7"/>
        <v>91139.525891148005</v>
      </c>
      <c r="G37" s="88">
        <f t="shared" si="8"/>
        <v>92540.898378111553</v>
      </c>
      <c r="H37" s="88">
        <f t="shared" si="9"/>
        <v>93963.838179633211</v>
      </c>
      <c r="I37" s="88">
        <f t="shared" si="10"/>
        <v>95408.677521826699</v>
      </c>
      <c r="J37" s="88">
        <f t="shared" si="11"/>
        <v>96875.753753285404</v>
      </c>
      <c r="K37" s="88">
        <f t="shared" si="12"/>
        <v>98365.409423839665</v>
      </c>
      <c r="L37" s="88">
        <f t="shared" si="1"/>
        <v>89759.393536984557</v>
      </c>
      <c r="M37" s="87" t="s">
        <v>1047</v>
      </c>
      <c r="N37" s="87">
        <f>1331-$AD$19</f>
        <v>1114</v>
      </c>
      <c r="O37" s="87">
        <v>17</v>
      </c>
      <c r="P37" s="87">
        <f>AI2</f>
        <v>0.54</v>
      </c>
      <c r="Q37" s="87">
        <v>6</v>
      </c>
      <c r="R37" s="87">
        <f t="shared" si="2"/>
        <v>36.524590163934427</v>
      </c>
      <c r="S37" s="88">
        <v>100000</v>
      </c>
      <c r="T37" s="88"/>
      <c r="U37" s="88">
        <f t="shared" si="3"/>
        <v>165224.92138599881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4235</v>
      </c>
      <c r="AD62" s="25"/>
      <c r="AE62" s="26"/>
    </row>
    <row r="63" spans="1:31" x14ac:dyDescent="0.25">
      <c r="A63">
        <v>611</v>
      </c>
      <c r="B63" t="s">
        <v>4227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4228</v>
      </c>
      <c r="AD65" s="25"/>
      <c r="AE65" s="26"/>
    </row>
    <row r="66" spans="1:31" x14ac:dyDescent="0.25">
      <c r="A66">
        <v>702</v>
      </c>
      <c r="B66" t="s">
        <v>4229</v>
      </c>
      <c r="AD66" s="25"/>
      <c r="AE66" s="26"/>
    </row>
    <row r="67" spans="1:31" x14ac:dyDescent="0.25">
      <c r="A67">
        <v>704</v>
      </c>
      <c r="B67" t="s">
        <v>4230</v>
      </c>
      <c r="AD67" s="25"/>
      <c r="AE67" s="26"/>
    </row>
    <row r="68" spans="1:31" x14ac:dyDescent="0.25">
      <c r="A68">
        <v>705</v>
      </c>
      <c r="B68" t="s">
        <v>4231</v>
      </c>
      <c r="AD68" s="25"/>
      <c r="AE68" s="26"/>
    </row>
    <row r="69" spans="1:31" x14ac:dyDescent="0.25">
      <c r="A69">
        <v>706</v>
      </c>
      <c r="B69" t="s">
        <v>4232</v>
      </c>
      <c r="AD69" s="25"/>
      <c r="AE69" s="26"/>
    </row>
    <row r="70" spans="1:31" x14ac:dyDescent="0.25">
      <c r="A70" s="25">
        <v>711</v>
      </c>
      <c r="B70" s="25" t="s">
        <v>4233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4234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F21" sqref="F21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1240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14100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4270</v>
      </c>
      <c r="B8" s="95">
        <f>B2*B4*B5*B6/(B1*B3)+B7</f>
        <v>4120036.48874598</v>
      </c>
      <c r="C8" s="99">
        <f>B2*B4*B5/(B1*B3)+B7/B6</f>
        <v>292.20116941460856</v>
      </c>
      <c r="D8" s="99" t="s">
        <v>4273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4271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4272</v>
      </c>
      <c r="B10" s="95">
        <f>B9-B8</f>
        <v>229963.51125402004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4175</v>
      </c>
      <c r="J11" s="69" t="s">
        <v>4174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4217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-101</v>
      </c>
      <c r="C91" s="144">
        <f>$B$89/(1+(C$90/36500))^$B91</f>
        <v>3153169.7931197286</v>
      </c>
      <c r="D91" s="144">
        <f>$B$89/(1+(D$90/36500))^$B91</f>
        <v>3161902.6533215526</v>
      </c>
      <c r="E91" s="144">
        <f t="shared" ref="E91:K106" si="0">$B$89/(1+(E$90/36500))^$B91</f>
        <v>3170659.4594903332</v>
      </c>
      <c r="F91" s="144">
        <f t="shared" si="0"/>
        <v>3179440.2766287909</v>
      </c>
      <c r="G91" s="144">
        <f t="shared" si="0"/>
        <v>3188245.1699141962</v>
      </c>
      <c r="H91" s="144">
        <f t="shared" si="0"/>
        <v>3197074.2046992569</v>
      </c>
      <c r="I91" s="144">
        <f t="shared" si="0"/>
        <v>3205927.4465120244</v>
      </c>
      <c r="J91" s="144">
        <f t="shared" si="0"/>
        <v>3214804.9610566278</v>
      </c>
      <c r="K91" s="144">
        <f>$B$89/(1+(K$90/36500))^$B91</f>
        <v>3223706.8142138044</v>
      </c>
      <c r="L91" s="99"/>
    </row>
    <row r="92" spans="1:12" x14ac:dyDescent="0.25">
      <c r="A92" s="145" t="s">
        <v>3860</v>
      </c>
      <c r="B92" s="91">
        <f>120-'اوراق بدون ریسک'!$AD$19</f>
        <v>-97</v>
      </c>
      <c r="C92" s="146">
        <f t="shared" ref="C92:K112" si="1">$B$89/(1+(C$90/36500))^$B92</f>
        <v>3146957.5026233355</v>
      </c>
      <c r="D92" s="146">
        <f t="shared" si="1"/>
        <v>3155327.5245060348</v>
      </c>
      <c r="E92" s="146">
        <f t="shared" si="0"/>
        <v>3163719.5781847681</v>
      </c>
      <c r="F92" s="146">
        <f t="shared" si="0"/>
        <v>3172133.7210465581</v>
      </c>
      <c r="G92" s="146">
        <f t="shared" si="0"/>
        <v>3180570.0106262104</v>
      </c>
      <c r="H92" s="146">
        <f t="shared" si="0"/>
        <v>3189028.5046071066</v>
      </c>
      <c r="I92" s="146">
        <f t="shared" si="0"/>
        <v>3197509.2608210403</v>
      </c>
      <c r="J92" s="146">
        <f t="shared" si="0"/>
        <v>3206012.3372488511</v>
      </c>
      <c r="K92" s="146">
        <f t="shared" si="0"/>
        <v>3214537.7920208676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-80</v>
      </c>
      <c r="C93" s="149">
        <f t="shared" si="1"/>
        <v>3120691.521458772</v>
      </c>
      <c r="D93" s="149">
        <f t="shared" si="1"/>
        <v>3127535.4218872646</v>
      </c>
      <c r="E93" s="149">
        <f t="shared" si="0"/>
        <v>3134394.1434597024</v>
      </c>
      <c r="F93" s="149">
        <f t="shared" si="0"/>
        <v>3141267.7178655867</v>
      </c>
      <c r="G93" s="149">
        <f t="shared" si="0"/>
        <v>3148156.1768612084</v>
      </c>
      <c r="H93" s="149">
        <f t="shared" si="0"/>
        <v>3155059.5522701256</v>
      </c>
      <c r="I93" s="149">
        <f t="shared" si="0"/>
        <v>3161977.8759828648</v>
      </c>
      <c r="J93" s="149">
        <f t="shared" si="0"/>
        <v>3168911.1799572627</v>
      </c>
      <c r="K93" s="149">
        <f t="shared" si="0"/>
        <v>3175859.4962186641</v>
      </c>
      <c r="L93" s="144">
        <f t="shared" ref="L93:L114" si="2">$B$89/(1+(L$92/36500))^$B91</f>
        <v>3232633.0720413066</v>
      </c>
    </row>
    <row r="94" spans="1:12" x14ac:dyDescent="0.25">
      <c r="A94" s="150" t="s">
        <v>3862</v>
      </c>
      <c r="B94" s="151">
        <f>116-'اوراق بدون ریسک'!$AD$19</f>
        <v>-101</v>
      </c>
      <c r="C94" s="152">
        <f t="shared" si="1"/>
        <v>3153169.7931197286</v>
      </c>
      <c r="D94" s="152">
        <f t="shared" si="1"/>
        <v>3161902.6533215526</v>
      </c>
      <c r="E94" s="152">
        <f t="shared" si="0"/>
        <v>3170659.4594903332</v>
      </c>
      <c r="F94" s="152">
        <f t="shared" si="0"/>
        <v>3179440.2766287909</v>
      </c>
      <c r="G94" s="152">
        <f t="shared" si="0"/>
        <v>3188245.1699141962</v>
      </c>
      <c r="H94" s="152">
        <f t="shared" si="0"/>
        <v>3197074.2046992569</v>
      </c>
      <c r="I94" s="152">
        <f t="shared" si="0"/>
        <v>3205927.4465120244</v>
      </c>
      <c r="J94" s="152">
        <f t="shared" si="0"/>
        <v>3214804.9610566278</v>
      </c>
      <c r="K94" s="152">
        <f t="shared" si="0"/>
        <v>3223706.8142138044</v>
      </c>
      <c r="L94" s="146">
        <f t="shared" si="2"/>
        <v>3223085.6834172304</v>
      </c>
    </row>
    <row r="95" spans="1:12" x14ac:dyDescent="0.25">
      <c r="A95" s="153" t="s">
        <v>3863</v>
      </c>
      <c r="B95" s="154">
        <f>167-'اوراق بدون ریسک'!$AD$19</f>
        <v>-50</v>
      </c>
      <c r="C95" s="155">
        <f t="shared" si="1"/>
        <v>3074873.4470260157</v>
      </c>
      <c r="D95" s="155">
        <f t="shared" si="1"/>
        <v>3079086.3520180499</v>
      </c>
      <c r="E95" s="155">
        <f t="shared" si="0"/>
        <v>3083304.9135422539</v>
      </c>
      <c r="F95" s="155">
        <f t="shared" si="0"/>
        <v>3087529.1390382713</v>
      </c>
      <c r="G95" s="155">
        <f t="shared" si="0"/>
        <v>3091759.0359552694</v>
      </c>
      <c r="H95" s="155">
        <f t="shared" si="0"/>
        <v>3095994.6117521548</v>
      </c>
      <c r="I95" s="155">
        <f t="shared" si="0"/>
        <v>3100235.8738973197</v>
      </c>
      <c r="J95" s="155">
        <f t="shared" si="0"/>
        <v>3104482.8298687777</v>
      </c>
      <c r="K95" s="155">
        <f t="shared" si="0"/>
        <v>3108735.4871542095</v>
      </c>
      <c r="L95" s="149">
        <f t="shared" si="2"/>
        <v>3182822.8568600109</v>
      </c>
    </row>
    <row r="96" spans="1:12" x14ac:dyDescent="0.25">
      <c r="A96" s="158" t="s">
        <v>3864</v>
      </c>
      <c r="B96" s="23">
        <f>181-'اوراق بدون ریسک'!$AD$19</f>
        <v>-36</v>
      </c>
      <c r="C96" s="159">
        <f t="shared" si="1"/>
        <v>3053722.4968839958</v>
      </c>
      <c r="D96" s="159">
        <f t="shared" si="1"/>
        <v>3056734.3460637992</v>
      </c>
      <c r="E96" s="159">
        <f t="shared" si="0"/>
        <v>3059749.0831992538</v>
      </c>
      <c r="F96" s="159">
        <f t="shared" si="0"/>
        <v>3062766.710980325</v>
      </c>
      <c r="G96" s="159">
        <f t="shared" si="0"/>
        <v>3065787.2320993701</v>
      </c>
      <c r="H96" s="159">
        <f t="shared" si="0"/>
        <v>3068810.649251285</v>
      </c>
      <c r="I96" s="159">
        <f t="shared" si="0"/>
        <v>3071836.9651333177</v>
      </c>
      <c r="J96" s="159">
        <f t="shared" si="0"/>
        <v>3074866.1824451555</v>
      </c>
      <c r="K96" s="159">
        <f t="shared" si="0"/>
        <v>3077898.3038889524</v>
      </c>
      <c r="L96" s="152">
        <f t="shared" si="2"/>
        <v>3232633.0720413066</v>
      </c>
    </row>
    <row r="97" spans="1:12" x14ac:dyDescent="0.25">
      <c r="A97" s="160" t="s">
        <v>3865</v>
      </c>
      <c r="B97" s="87">
        <f>197-'اوراق بدون ریسک'!$AD$19</f>
        <v>-20</v>
      </c>
      <c r="C97" s="140">
        <f t="shared" si="1"/>
        <v>3029728.0747588817</v>
      </c>
      <c r="D97" s="140">
        <f t="shared" si="1"/>
        <v>3031387.8131755237</v>
      </c>
      <c r="E97" s="140">
        <f t="shared" si="0"/>
        <v>3033048.4153407593</v>
      </c>
      <c r="F97" s="140">
        <f t="shared" si="0"/>
        <v>3034709.8816804243</v>
      </c>
      <c r="G97" s="140">
        <f t="shared" si="0"/>
        <v>3036372.2126205298</v>
      </c>
      <c r="H97" s="140">
        <f t="shared" si="0"/>
        <v>3038035.408587344</v>
      </c>
      <c r="I97" s="140">
        <f t="shared" si="0"/>
        <v>3039699.4700072859</v>
      </c>
      <c r="J97" s="140">
        <f t="shared" si="0"/>
        <v>3041364.397306975</v>
      </c>
      <c r="K97" s="140">
        <f t="shared" si="0"/>
        <v>3043030.1909132446</v>
      </c>
      <c r="L97" s="155">
        <f t="shared" si="2"/>
        <v>3112993.8532509445</v>
      </c>
    </row>
    <row r="98" spans="1:12" x14ac:dyDescent="0.25">
      <c r="A98" s="161" t="s">
        <v>3866</v>
      </c>
      <c r="B98" s="23">
        <f>214-'اوراق بدون ریسک'!$AD$19</f>
        <v>-3</v>
      </c>
      <c r="C98" s="106">
        <f t="shared" si="1"/>
        <v>3004440.5453025647</v>
      </c>
      <c r="D98" s="106">
        <f t="shared" si="1"/>
        <v>3004687.3706614776</v>
      </c>
      <c r="E98" s="106">
        <f t="shared" si="0"/>
        <v>3004934.2095384006</v>
      </c>
      <c r="F98" s="106">
        <f t="shared" si="0"/>
        <v>3005181.0619337056</v>
      </c>
      <c r="G98" s="106">
        <f t="shared" si="0"/>
        <v>3005427.9278477593</v>
      </c>
      <c r="H98" s="106">
        <f t="shared" si="0"/>
        <v>3005674.8072809358</v>
      </c>
      <c r="I98" s="106">
        <f t="shared" si="0"/>
        <v>3005921.7002336038</v>
      </c>
      <c r="J98" s="106">
        <f t="shared" si="0"/>
        <v>3006168.6067061336</v>
      </c>
      <c r="K98" s="106">
        <f t="shared" si="0"/>
        <v>3006415.5266988953</v>
      </c>
      <c r="L98" s="159">
        <f t="shared" si="2"/>
        <v>3080933.3321693134</v>
      </c>
    </row>
    <row r="99" spans="1:12" x14ac:dyDescent="0.25">
      <c r="A99" s="162" t="s">
        <v>3867</v>
      </c>
      <c r="B99" s="163">
        <f>272-'اوراق بدون ریسک'!$AD$19</f>
        <v>55</v>
      </c>
      <c r="C99" s="164">
        <f t="shared" si="1"/>
        <v>2919743.2570096198</v>
      </c>
      <c r="D99" s="164">
        <f t="shared" si="1"/>
        <v>2915349.1824511527</v>
      </c>
      <c r="E99" s="164">
        <f t="shared" si="0"/>
        <v>2910961.8408154361</v>
      </c>
      <c r="F99" s="164">
        <f t="shared" si="0"/>
        <v>2906581.2216018522</v>
      </c>
      <c r="G99" s="164">
        <f t="shared" si="0"/>
        <v>2902207.314326507</v>
      </c>
      <c r="H99" s="164">
        <f t="shared" si="0"/>
        <v>2897840.1085219923</v>
      </c>
      <c r="I99" s="164">
        <f t="shared" si="0"/>
        <v>2893479.5937376311</v>
      </c>
      <c r="J99" s="164">
        <f t="shared" si="0"/>
        <v>2889125.7595393271</v>
      </c>
      <c r="K99" s="164">
        <f t="shared" si="0"/>
        <v>2884778.5955094988</v>
      </c>
      <c r="L99" s="140">
        <f t="shared" si="2"/>
        <v>3044696.8512531277</v>
      </c>
    </row>
    <row r="100" spans="1:12" x14ac:dyDescent="0.25">
      <c r="A100" s="147" t="s">
        <v>3868</v>
      </c>
      <c r="B100" s="148">
        <f>302-'اوراق بدون ریسک'!$AD$19</f>
        <v>85</v>
      </c>
      <c r="C100" s="149">
        <f t="shared" si="1"/>
        <v>2876875.5102444179</v>
      </c>
      <c r="D100" s="149">
        <f t="shared" si="1"/>
        <v>2870187.118020081</v>
      </c>
      <c r="E100" s="149">
        <f t="shared" si="0"/>
        <v>2863514.4580168626</v>
      </c>
      <c r="F100" s="149">
        <f t="shared" si="0"/>
        <v>2856857.4928006739</v>
      </c>
      <c r="G100" s="149">
        <f t="shared" si="0"/>
        <v>2850216.1850276086</v>
      </c>
      <c r="H100" s="149">
        <f t="shared" si="0"/>
        <v>2843590.4974434031</v>
      </c>
      <c r="I100" s="149">
        <f t="shared" si="0"/>
        <v>2836980.3928836412</v>
      </c>
      <c r="J100" s="149">
        <f t="shared" si="0"/>
        <v>2830385.8342733337</v>
      </c>
      <c r="K100" s="149">
        <f t="shared" si="0"/>
        <v>2823806.7846266562</v>
      </c>
      <c r="L100" s="106">
        <f t="shared" si="2"/>
        <v>3006662.4602122591</v>
      </c>
    </row>
    <row r="101" spans="1:12" x14ac:dyDescent="0.25">
      <c r="A101" s="150" t="s">
        <v>3869</v>
      </c>
      <c r="B101" s="151">
        <f>319-'اوراق بدون ریسک'!$AD$19</f>
        <v>102</v>
      </c>
      <c r="C101" s="152">
        <f t="shared" si="1"/>
        <v>2852863.7598785865</v>
      </c>
      <c r="D101" s="152">
        <f t="shared" si="1"/>
        <v>2844906.5300939279</v>
      </c>
      <c r="E101" s="152">
        <f t="shared" si="0"/>
        <v>2836971.7116553048</v>
      </c>
      <c r="F101" s="152">
        <f t="shared" si="0"/>
        <v>2829059.2408306175</v>
      </c>
      <c r="G101" s="152">
        <f t="shared" si="0"/>
        <v>2821169.0540708485</v>
      </c>
      <c r="H101" s="152">
        <f t="shared" si="0"/>
        <v>2813301.0880091502</v>
      </c>
      <c r="I101" s="152">
        <f t="shared" si="0"/>
        <v>2805455.279460818</v>
      </c>
      <c r="J101" s="152">
        <f t="shared" si="0"/>
        <v>2797631.5654225252</v>
      </c>
      <c r="K101" s="152">
        <f t="shared" si="0"/>
        <v>2789829.8830717369</v>
      </c>
      <c r="L101" s="164">
        <f t="shared" si="2"/>
        <v>2880438.0912470901</v>
      </c>
    </row>
    <row r="102" spans="1:12" x14ac:dyDescent="0.25">
      <c r="A102" s="147" t="s">
        <v>3870</v>
      </c>
      <c r="B102" s="148">
        <f>334-'اوراق بدون ریسک'!$AD$19</f>
        <v>117</v>
      </c>
      <c r="C102" s="149">
        <f t="shared" si="1"/>
        <v>2831843.4091257863</v>
      </c>
      <c r="D102" s="149">
        <f t="shared" si="1"/>
        <v>2822785.1103060641</v>
      </c>
      <c r="E102" s="149">
        <f t="shared" si="0"/>
        <v>2813756.0333776358</v>
      </c>
      <c r="F102" s="149">
        <f t="shared" si="0"/>
        <v>2804756.0832749694</v>
      </c>
      <c r="G102" s="149">
        <f t="shared" si="0"/>
        <v>2795785.165244516</v>
      </c>
      <c r="H102" s="149">
        <f t="shared" si="0"/>
        <v>2786843.1848432398</v>
      </c>
      <c r="I102" s="149">
        <f t="shared" si="0"/>
        <v>2777930.0479381667</v>
      </c>
      <c r="J102" s="149">
        <f t="shared" si="0"/>
        <v>2769045.6607050826</v>
      </c>
      <c r="K102" s="149">
        <f t="shared" si="0"/>
        <v>2760189.929627453</v>
      </c>
      <c r="L102" s="149">
        <f t="shared" si="2"/>
        <v>2817243.2070467742</v>
      </c>
    </row>
    <row r="103" spans="1:12" x14ac:dyDescent="0.25">
      <c r="A103" s="150" t="s">
        <v>3871</v>
      </c>
      <c r="B103" s="151">
        <f>349-'اوراق بدون ریسک'!$AD$19</f>
        <v>132</v>
      </c>
      <c r="C103" s="152">
        <f t="shared" si="1"/>
        <v>2810977.9396372028</v>
      </c>
      <c r="D103" s="152">
        <f t="shared" si="1"/>
        <v>2800835.7022199044</v>
      </c>
      <c r="E103" s="152">
        <f t="shared" si="0"/>
        <v>2790730.3350407891</v>
      </c>
      <c r="F103" s="152">
        <f t="shared" si="0"/>
        <v>2780661.7030607956</v>
      </c>
      <c r="G103" s="152">
        <f t="shared" si="0"/>
        <v>2770629.6717392704</v>
      </c>
      <c r="H103" s="152">
        <f t="shared" si="0"/>
        <v>2760634.107031615</v>
      </c>
      <c r="I103" s="152">
        <f t="shared" si="0"/>
        <v>2750674.8753880882</v>
      </c>
      <c r="J103" s="152">
        <f t="shared" si="0"/>
        <v>2740751.8437516671</v>
      </c>
      <c r="K103" s="152">
        <f t="shared" si="0"/>
        <v>2730864.8795561343</v>
      </c>
      <c r="L103" s="152">
        <f t="shared" si="2"/>
        <v>2782050.1697662501</v>
      </c>
    </row>
    <row r="104" spans="1:12" x14ac:dyDescent="0.25">
      <c r="A104" s="162" t="s">
        <v>3872</v>
      </c>
      <c r="B104" s="163">
        <f>361-'اوراق بدون ریسک'!$AD$19</f>
        <v>144</v>
      </c>
      <c r="C104" s="164">
        <f t="shared" si="1"/>
        <v>2794396.3113941262</v>
      </c>
      <c r="D104" s="164">
        <f t="shared" si="1"/>
        <v>2783399.1250070645</v>
      </c>
      <c r="E104" s="164">
        <f t="shared" si="0"/>
        <v>2772445.5167720164</v>
      </c>
      <c r="F104" s="164">
        <f t="shared" si="0"/>
        <v>2761535.3128172308</v>
      </c>
      <c r="G104" s="164">
        <f t="shared" si="0"/>
        <v>2750668.339969574</v>
      </c>
      <c r="H104" s="164">
        <f t="shared" si="0"/>
        <v>2739844.4257511594</v>
      </c>
      <c r="I104" s="164">
        <f t="shared" si="0"/>
        <v>2729063.3983772378</v>
      </c>
      <c r="J104" s="164">
        <f t="shared" si="0"/>
        <v>2718325.086753069</v>
      </c>
      <c r="K104" s="164">
        <f t="shared" si="0"/>
        <v>2707629.3204710418</v>
      </c>
      <c r="L104" s="149">
        <f t="shared" si="2"/>
        <v>2751362.7614954645</v>
      </c>
    </row>
    <row r="105" spans="1:12" x14ac:dyDescent="0.25">
      <c r="A105" s="156" t="s">
        <v>3873</v>
      </c>
      <c r="B105" s="93">
        <f>372-'اوراق بدون ریسک'!$AD$19</f>
        <v>155</v>
      </c>
      <c r="C105" s="157">
        <f t="shared" si="1"/>
        <v>2779282.425675943</v>
      </c>
      <c r="D105" s="157">
        <f t="shared" si="1"/>
        <v>2767510.9716741173</v>
      </c>
      <c r="E105" s="157">
        <f t="shared" si="0"/>
        <v>2755789.6951200399</v>
      </c>
      <c r="F105" s="157">
        <f t="shared" si="0"/>
        <v>2744118.3807602134</v>
      </c>
      <c r="G105" s="157">
        <f t="shared" si="0"/>
        <v>2732496.8142705648</v>
      </c>
      <c r="H105" s="157">
        <f t="shared" si="0"/>
        <v>2720924.7822518339</v>
      </c>
      <c r="I105" s="157">
        <f t="shared" si="0"/>
        <v>2709402.0722262976</v>
      </c>
      <c r="J105" s="157">
        <f t="shared" si="0"/>
        <v>2697928.4726334224</v>
      </c>
      <c r="K105" s="157">
        <f t="shared" si="0"/>
        <v>2686503.7728257878</v>
      </c>
      <c r="L105" s="152">
        <f t="shared" si="2"/>
        <v>2721013.850724333</v>
      </c>
    </row>
    <row r="106" spans="1:12" x14ac:dyDescent="0.25">
      <c r="A106" s="150" t="s">
        <v>3874</v>
      </c>
      <c r="B106" s="151">
        <f>391-'اوراق بدون ریسک'!$AD$19</f>
        <v>174</v>
      </c>
      <c r="C106" s="152">
        <f t="shared" si="1"/>
        <v>2753368.9117586031</v>
      </c>
      <c r="D106" s="152">
        <f t="shared" si="1"/>
        <v>2740281.1165785613</v>
      </c>
      <c r="E106" s="152">
        <f t="shared" si="0"/>
        <v>2727255.8884237385</v>
      </c>
      <c r="F106" s="152">
        <f t="shared" si="0"/>
        <v>2714292.9264875883</v>
      </c>
      <c r="G106" s="152">
        <f t="shared" si="0"/>
        <v>2701391.9314181278</v>
      </c>
      <c r="H106" s="152">
        <f t="shared" si="0"/>
        <v>2688552.6053102263</v>
      </c>
      <c r="I106" s="152">
        <f t="shared" si="0"/>
        <v>2675774.6516993963</v>
      </c>
      <c r="J106" s="152">
        <f t="shared" si="0"/>
        <v>2663057.7755544009</v>
      </c>
      <c r="K106" s="152">
        <f t="shared" si="0"/>
        <v>2650401.6832701904</v>
      </c>
      <c r="L106" s="164">
        <f t="shared" si="2"/>
        <v>2696975.9298079829</v>
      </c>
    </row>
    <row r="107" spans="1:12" x14ac:dyDescent="0.25">
      <c r="A107" s="156" t="s">
        <v>3875</v>
      </c>
      <c r="B107" s="93">
        <f>407-'اوراق بدون ریسک'!$AD$19</f>
        <v>190</v>
      </c>
      <c r="C107" s="157">
        <f t="shared" si="1"/>
        <v>2731734.4980218234</v>
      </c>
      <c r="D107" s="157">
        <f t="shared" si="1"/>
        <v>2717558.6233616024</v>
      </c>
      <c r="E107" s="157">
        <f t="shared" si="1"/>
        <v>2703456.6971626733</v>
      </c>
      <c r="F107" s="157">
        <f t="shared" si="1"/>
        <v>2689428.3316637743</v>
      </c>
      <c r="G107" s="157">
        <f t="shared" si="1"/>
        <v>2675473.1411476652</v>
      </c>
      <c r="H107" s="157">
        <f t="shared" si="1"/>
        <v>2661590.7419296112</v>
      </c>
      <c r="I107" s="157">
        <f t="shared" si="1"/>
        <v>2647780.7523475084</v>
      </c>
      <c r="J107" s="157">
        <f t="shared" si="1"/>
        <v>2634042.7927507465</v>
      </c>
      <c r="K107" s="157">
        <f t="shared" si="1"/>
        <v>2620376.4854894485</v>
      </c>
      <c r="L107" s="157">
        <f t="shared" si="2"/>
        <v>2675127.7630652105</v>
      </c>
    </row>
    <row r="108" spans="1:12" x14ac:dyDescent="0.25">
      <c r="A108" s="147" t="s">
        <v>3876</v>
      </c>
      <c r="B108" s="148">
        <f>573-'اوراق بدون ریسک'!$AD$19</f>
        <v>356</v>
      </c>
      <c r="C108" s="149">
        <f t="shared" si="1"/>
        <v>2517065.9553881935</v>
      </c>
      <c r="D108" s="149">
        <f t="shared" si="1"/>
        <v>2492647.5934661506</v>
      </c>
      <c r="E108" s="149">
        <f t="shared" si="1"/>
        <v>2468466.7759630713</v>
      </c>
      <c r="F108" s="149">
        <f t="shared" si="1"/>
        <v>2444521.1856118096</v>
      </c>
      <c r="G108" s="149">
        <f t="shared" si="1"/>
        <v>2420808.5278132288</v>
      </c>
      <c r="H108" s="149">
        <f t="shared" si="1"/>
        <v>2397326.5304126726</v>
      </c>
      <c r="I108" s="149">
        <f t="shared" si="1"/>
        <v>2374072.9434813363</v>
      </c>
      <c r="J108" s="149">
        <f t="shared" si="1"/>
        <v>2351045.5390975527</v>
      </c>
      <c r="K108" s="149">
        <f t="shared" si="1"/>
        <v>2328242.1111307587</v>
      </c>
      <c r="L108" s="152">
        <f t="shared" si="2"/>
        <v>2637806.0826610639</v>
      </c>
    </row>
    <row r="109" spans="1:12" x14ac:dyDescent="0.25">
      <c r="A109" s="156" t="s">
        <v>3877</v>
      </c>
      <c r="B109" s="93">
        <f>579-'اوراق بدون ریسک'!$AD$19</f>
        <v>362</v>
      </c>
      <c r="C109" s="157">
        <f t="shared" si="1"/>
        <v>2509631.0367344646</v>
      </c>
      <c r="D109" s="157">
        <f t="shared" si="1"/>
        <v>2484876.5023980802</v>
      </c>
      <c r="E109" s="157">
        <f t="shared" si="1"/>
        <v>2460366.8100269623</v>
      </c>
      <c r="F109" s="157">
        <f t="shared" si="1"/>
        <v>2436099.5313349213</v>
      </c>
      <c r="G109" s="157">
        <f t="shared" si="1"/>
        <v>2412072.2621847983</v>
      </c>
      <c r="H109" s="157">
        <f t="shared" si="1"/>
        <v>2388282.6223464594</v>
      </c>
      <c r="I109" s="157">
        <f t="shared" si="1"/>
        <v>2364728.255259952</v>
      </c>
      <c r="J109" s="157">
        <f t="shared" si="1"/>
        <v>2341406.8277987717</v>
      </c>
      <c r="K109" s="157">
        <f t="shared" si="1"/>
        <v>2318316.030036015</v>
      </c>
      <c r="L109" s="157">
        <f t="shared" si="2"/>
        <v>2606781.4549039798</v>
      </c>
    </row>
    <row r="110" spans="1:12" x14ac:dyDescent="0.25">
      <c r="A110" s="150" t="s">
        <v>3878</v>
      </c>
      <c r="B110" s="151">
        <f>753-'اوراق بدون ریسک'!$AD$19</f>
        <v>536</v>
      </c>
      <c r="C110" s="152">
        <f t="shared" si="1"/>
        <v>2303313.3588430625</v>
      </c>
      <c r="D110" s="152">
        <f t="shared" si="1"/>
        <v>2269753.3855170808</v>
      </c>
      <c r="E110" s="152">
        <f t="shared" si="1"/>
        <v>2236683.2901094537</v>
      </c>
      <c r="F110" s="152">
        <f t="shared" si="1"/>
        <v>2204095.9087073677</v>
      </c>
      <c r="G110" s="152">
        <f t="shared" si="1"/>
        <v>2171984.1823544959</v>
      </c>
      <c r="H110" s="152">
        <f t="shared" si="1"/>
        <v>2140341.1555089047</v>
      </c>
      <c r="I110" s="152">
        <f t="shared" si="1"/>
        <v>2109159.9745273069</v>
      </c>
      <c r="J110" s="152">
        <f t="shared" si="1"/>
        <v>2078433.8861685607</v>
      </c>
      <c r="K110" s="152">
        <f t="shared" si="1"/>
        <v>2048156.236119906</v>
      </c>
      <c r="L110" s="149">
        <f t="shared" si="2"/>
        <v>2305660.4750279463</v>
      </c>
    </row>
    <row r="111" spans="1:12" x14ac:dyDescent="0.25">
      <c r="A111" s="162" t="s">
        <v>3879</v>
      </c>
      <c r="B111" s="163">
        <f>757-'اوراق بدون ریسک'!$AD$19</f>
        <v>540</v>
      </c>
      <c r="C111" s="164">
        <f t="shared" si="1"/>
        <v>2298775.432683622</v>
      </c>
      <c r="D111" s="164">
        <f t="shared" si="1"/>
        <v>2265033.467630438</v>
      </c>
      <c r="E111" s="164">
        <f t="shared" si="1"/>
        <v>2231787.6787232985</v>
      </c>
      <c r="F111" s="164">
        <f t="shared" si="1"/>
        <v>2199030.7563961502</v>
      </c>
      <c r="G111" s="164">
        <f t="shared" si="1"/>
        <v>2166755.4989621812</v>
      </c>
      <c r="H111" s="164">
        <f t="shared" si="1"/>
        <v>2134954.8110171817</v>
      </c>
      <c r="I111" s="164">
        <f t="shared" si="1"/>
        <v>2103621.7018702379</v>
      </c>
      <c r="J111" s="164">
        <f t="shared" si="1"/>
        <v>2072749.2839946207</v>
      </c>
      <c r="K111" s="164">
        <f t="shared" si="1"/>
        <v>2042330.7715023479</v>
      </c>
      <c r="L111" s="157">
        <f t="shared" si="2"/>
        <v>2295453.5750132524</v>
      </c>
    </row>
    <row r="112" spans="1:12" x14ac:dyDescent="0.25">
      <c r="A112" s="147" t="s">
        <v>3880</v>
      </c>
      <c r="B112" s="148">
        <f>774-'اوراق بدون ریسک'!$AD$19</f>
        <v>557</v>
      </c>
      <c r="C112" s="149">
        <f t="shared" si="1"/>
        <v>2279588.7763127955</v>
      </c>
      <c r="D112" s="149">
        <f t="shared" si="1"/>
        <v>2245083.0687959506</v>
      </c>
      <c r="E112" s="149">
        <f t="shared" si="1"/>
        <v>2211100.5911748637</v>
      </c>
      <c r="F112" s="149">
        <f t="shared" si="1"/>
        <v>2177633.3954111342</v>
      </c>
      <c r="G112" s="149">
        <f t="shared" si="1"/>
        <v>2144673.6544128964</v>
      </c>
      <c r="H112" s="149">
        <f t="shared" si="1"/>
        <v>2112213.6601894987</v>
      </c>
      <c r="I112" s="149">
        <f t="shared" si="1"/>
        <v>2080245.8220381036</v>
      </c>
      <c r="J112" s="149">
        <f t="shared" si="1"/>
        <v>2048762.6647548757</v>
      </c>
      <c r="K112" s="149">
        <f t="shared" si="1"/>
        <v>2017756.8268742305</v>
      </c>
      <c r="L112" s="152">
        <f t="shared" si="2"/>
        <v>2018320.4675453471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2012359.478641829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1987221.0589354602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4255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4266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4199</v>
      </c>
      <c r="M20" t="s">
        <v>4035</v>
      </c>
      <c r="N20" t="s">
        <v>4200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4265</v>
      </c>
      <c r="B191" s="38">
        <v>-5000</v>
      </c>
      <c r="C191" s="73" t="s">
        <v>4266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abSelected="1" topLeftCell="T19" zoomScaleNormal="100" workbookViewId="0">
      <selection activeCell="Z34" sqref="Z3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1079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-L80*12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4160</v>
      </c>
      <c r="AR6" s="99" t="s">
        <v>4191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4167</v>
      </c>
      <c r="AR7" s="99" t="s">
        <v>4192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4182</v>
      </c>
      <c r="AR8" s="99" t="s">
        <v>4193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4196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-7960011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-آبان97!D55</f>
        <v>51211358</v>
      </c>
      <c r="M19" s="171" t="s">
        <v>4198</v>
      </c>
      <c r="N19" s="113">
        <f>O19*P19</f>
        <v>10388456.4</v>
      </c>
      <c r="O19" s="99">
        <v>48028</v>
      </c>
      <c r="P19" s="99">
        <f>P35</f>
        <v>216.3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/>
      <c r="N20" s="113"/>
      <c r="O20" s="99"/>
      <c r="P20" s="99"/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L49</f>
        <v>285059560</v>
      </c>
      <c r="G21" s="29">
        <f t="shared" si="0"/>
        <v>-23059560</v>
      </c>
      <c r="H21" s="11" t="s">
        <v>4221</v>
      </c>
      <c r="J21" s="25"/>
      <c r="K21" s="171" t="s">
        <v>456</v>
      </c>
      <c r="L21" s="117">
        <v>150000</v>
      </c>
      <c r="M21" s="171" t="s">
        <v>4295</v>
      </c>
      <c r="N21" s="113">
        <f>O21*P21</f>
        <v>66805</v>
      </c>
      <c r="O21" s="99">
        <v>155</v>
      </c>
      <c r="P21" s="99">
        <f>P38</f>
        <v>431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200</v>
      </c>
      <c r="AK21" s="113">
        <f t="shared" ref="AK21:AK82" si="5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966</v>
      </c>
      <c r="N22" s="113">
        <f>O22*P22</f>
        <v>8038700</v>
      </c>
      <c r="O22" s="69">
        <v>100</v>
      </c>
      <c r="P22" s="99">
        <f>P39</f>
        <v>80387</v>
      </c>
      <c r="Q22" s="96"/>
      <c r="R22" s="172">
        <v>4275000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199</v>
      </c>
      <c r="AK22" s="113">
        <f t="shared" si="5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4334</v>
      </c>
      <c r="N23" s="113">
        <f>O23*P23</f>
        <v>4332916.8</v>
      </c>
      <c r="O23" s="99">
        <v>23952</v>
      </c>
      <c r="P23" s="99">
        <f>P41</f>
        <v>180.9</v>
      </c>
      <c r="R23" s="115"/>
      <c r="S23" s="115" t="s">
        <v>25</v>
      </c>
      <c r="T23" s="115"/>
      <c r="U23" s="115"/>
      <c r="V23" s="171" t="s">
        <v>180</v>
      </c>
      <c r="W23" s="171" t="s">
        <v>4330</v>
      </c>
      <c r="X23" s="113" t="s">
        <v>4337</v>
      </c>
      <c r="Y23" s="113" t="s">
        <v>939</v>
      </c>
      <c r="Z23" s="56"/>
      <c r="AA23" s="56" t="s">
        <v>943</v>
      </c>
      <c r="AB23" s="56" t="s">
        <v>4339</v>
      </c>
      <c r="AC23" s="171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198</v>
      </c>
      <c r="AK23" s="113">
        <f t="shared" si="5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25</v>
      </c>
      <c r="L24" s="117"/>
      <c r="M24" s="171" t="s">
        <v>757</v>
      </c>
      <c r="N24" s="113">
        <v>3000000</v>
      </c>
      <c r="O24" s="22"/>
      <c r="R24" s="115"/>
      <c r="S24" s="115"/>
      <c r="T24" s="115"/>
      <c r="U24" s="115"/>
      <c r="V24" s="171" t="s">
        <v>4326</v>
      </c>
      <c r="W24" s="172">
        <v>42705000</v>
      </c>
      <c r="X24" s="171" t="s">
        <v>1088</v>
      </c>
      <c r="Y24" s="171">
        <v>10</v>
      </c>
      <c r="Z24" s="171"/>
      <c r="AA24" s="113">
        <f>R22</f>
        <v>4275000</v>
      </c>
      <c r="AB24" s="113">
        <f>Y24*AA24</f>
        <v>42750000</v>
      </c>
      <c r="AC24" s="171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197</v>
      </c>
      <c r="AK24" s="113">
        <f t="shared" si="5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919</v>
      </c>
      <c r="L25" s="117">
        <v>4800000</v>
      </c>
      <c r="M25" s="171" t="s">
        <v>4159</v>
      </c>
      <c r="N25" s="113">
        <f>-1*L19</f>
        <v>-51211358</v>
      </c>
      <c r="R25" s="115"/>
      <c r="S25" s="115"/>
      <c r="T25" s="115"/>
      <c r="U25" s="115"/>
      <c r="V25" s="171" t="s">
        <v>4336</v>
      </c>
      <c r="W25" s="172">
        <v>-8646491</v>
      </c>
      <c r="X25" s="171" t="s">
        <v>966</v>
      </c>
      <c r="Y25" s="171">
        <v>-100</v>
      </c>
      <c r="Z25" s="171" t="s">
        <v>4338</v>
      </c>
      <c r="AA25" s="113">
        <f>P39</f>
        <v>80387</v>
      </c>
      <c r="AB25" s="113">
        <f t="shared" ref="AB25:AB28" si="6">Y25*AA25</f>
        <v>-8038700</v>
      </c>
      <c r="AC25" s="171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185</v>
      </c>
      <c r="AK25" s="113">
        <f t="shared" si="5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930</v>
      </c>
      <c r="L26" s="117">
        <v>0</v>
      </c>
      <c r="M26" s="171" t="s">
        <v>754</v>
      </c>
      <c r="N26" s="113">
        <v>500000</v>
      </c>
      <c r="P26" t="s">
        <v>25</v>
      </c>
      <c r="S26" s="26" t="s">
        <v>25</v>
      </c>
      <c r="V26" s="56" t="s">
        <v>4336</v>
      </c>
      <c r="W26" s="172">
        <v>-4470930</v>
      </c>
      <c r="X26" s="56" t="s">
        <v>4334</v>
      </c>
      <c r="Y26" s="171">
        <v>-23952</v>
      </c>
      <c r="Z26" s="171" t="s">
        <v>4338</v>
      </c>
      <c r="AA26" s="113">
        <f>P41</f>
        <v>180.9</v>
      </c>
      <c r="AB26" s="113">
        <f t="shared" si="6"/>
        <v>-4332916.8</v>
      </c>
      <c r="AC26" s="171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179</v>
      </c>
      <c r="AK26" s="113">
        <f t="shared" si="5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 t="s">
        <v>1088</v>
      </c>
      <c r="L27" s="117">
        <f>65*R22</f>
        <v>277875000</v>
      </c>
      <c r="M27" s="171" t="s">
        <v>761</v>
      </c>
      <c r="N27" s="113">
        <v>1200000</v>
      </c>
      <c r="O27" t="s">
        <v>25</v>
      </c>
      <c r="V27" s="113" t="s">
        <v>4336</v>
      </c>
      <c r="W27" s="172">
        <v>-11344820</v>
      </c>
      <c r="X27" s="56" t="s">
        <v>4340</v>
      </c>
      <c r="Y27" s="56">
        <v>-80808</v>
      </c>
      <c r="Z27" s="56" t="s">
        <v>4344</v>
      </c>
      <c r="AA27" s="171">
        <f>P42</f>
        <v>136.5</v>
      </c>
      <c r="AB27" s="113">
        <f t="shared" si="6"/>
        <v>-11030292</v>
      </c>
      <c r="AC27" s="171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178</v>
      </c>
      <c r="AK27" s="113">
        <f t="shared" si="5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4157</v>
      </c>
      <c r="L28" s="117">
        <v>-50000000</v>
      </c>
      <c r="M28" s="73" t="s">
        <v>4328</v>
      </c>
      <c r="N28" s="113">
        <v>80361</v>
      </c>
      <c r="O28" s="22"/>
      <c r="P28" t="s">
        <v>25</v>
      </c>
      <c r="V28" s="113" t="s">
        <v>4336</v>
      </c>
      <c r="W28" s="172">
        <v>-18242759</v>
      </c>
      <c r="X28" s="56" t="s">
        <v>4334</v>
      </c>
      <c r="Y28" s="56">
        <v>-99504</v>
      </c>
      <c r="Z28" s="56" t="s">
        <v>4344</v>
      </c>
      <c r="AA28" s="171">
        <f>P41</f>
        <v>180.9</v>
      </c>
      <c r="AB28" s="113">
        <f t="shared" si="6"/>
        <v>-18000273.600000001</v>
      </c>
      <c r="AC28" s="171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177</v>
      </c>
      <c r="AK28" s="113">
        <f t="shared" si="5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/>
      <c r="L29" s="117"/>
      <c r="M29" s="171" t="s">
        <v>1088</v>
      </c>
      <c r="N29" s="113">
        <f>65*R22</f>
        <v>277875000</v>
      </c>
      <c r="P29" t="s">
        <v>25</v>
      </c>
      <c r="V29" s="113"/>
      <c r="W29" s="56"/>
      <c r="X29" s="171"/>
      <c r="Y29" s="171"/>
      <c r="Z29" s="171"/>
      <c r="AA29" s="171"/>
      <c r="AB29" s="113">
        <v>-1200000</v>
      </c>
      <c r="AC29" s="171" t="s">
        <v>4345</v>
      </c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172</v>
      </c>
      <c r="AK29" s="113">
        <f t="shared" si="5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/>
      <c r="L30" s="117"/>
      <c r="M30" s="171" t="s">
        <v>4203</v>
      </c>
      <c r="N30" s="113">
        <v>-20000000</v>
      </c>
      <c r="Q30" s="73"/>
      <c r="R30" s="112"/>
      <c r="S30" s="112"/>
      <c r="T30" s="112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171</v>
      </c>
      <c r="AK30" s="113">
        <f t="shared" si="5"/>
        <v>-29070000</v>
      </c>
      <c r="AL30" s="99"/>
      <c r="AN30" s="96"/>
      <c r="AO30" s="99" t="s">
        <v>1136</v>
      </c>
      <c r="AP30" s="99" t="s">
        <v>4257</v>
      </c>
      <c r="AQ30" s="99" t="s">
        <v>939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/>
      <c r="L31" s="117"/>
      <c r="M31" s="171" t="s">
        <v>4204</v>
      </c>
      <c r="N31" s="113">
        <v>-50000000</v>
      </c>
      <c r="O31" s="96"/>
      <c r="P31" s="96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88"/>
      <c r="X31" s="188"/>
      <c r="Y31" s="188"/>
      <c r="Z31" s="188"/>
      <c r="AA31" s="188"/>
      <c r="AB31" s="42">
        <f>SUM(AB24:AB29)</f>
        <v>147817.59999999776</v>
      </c>
      <c r="AC31" s="188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166</v>
      </c>
      <c r="AK31" s="113">
        <f t="shared" si="5"/>
        <v>-1045800000</v>
      </c>
      <c r="AL31" s="99"/>
      <c r="AN31" s="96"/>
      <c r="AO31" s="99">
        <v>1</v>
      </c>
      <c r="AP31" s="172" t="s">
        <v>4258</v>
      </c>
      <c r="AQ31" s="99">
        <v>18290</v>
      </c>
      <c r="AR31" s="99" t="s">
        <v>4182</v>
      </c>
      <c r="AS31" s="99" t="s">
        <v>4259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99"/>
      <c r="L32" s="99"/>
      <c r="M32" s="171" t="s">
        <v>3893</v>
      </c>
      <c r="N32" s="113">
        <v>198</v>
      </c>
      <c r="O32" s="99" t="s">
        <v>939</v>
      </c>
      <c r="P32" s="99" t="s">
        <v>3934</v>
      </c>
      <c r="Q32" s="172">
        <v>186823144</v>
      </c>
      <c r="R32" s="171" t="s">
        <v>4182</v>
      </c>
      <c r="S32" s="171">
        <v>32</v>
      </c>
      <c r="T32" s="171" t="s">
        <v>4342</v>
      </c>
      <c r="V32" s="41"/>
      <c r="W32" s="188"/>
      <c r="X32" s="188"/>
      <c r="Y32" s="188"/>
      <c r="Z32" s="188"/>
      <c r="AA32" s="188"/>
      <c r="AB32" s="188" t="s">
        <v>946</v>
      </c>
      <c r="AC32" s="188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165</v>
      </c>
      <c r="AK32" s="113">
        <f t="shared" si="5"/>
        <v>-8582475</v>
      </c>
      <c r="AL32" s="99"/>
      <c r="AN32" s="96"/>
      <c r="AO32" s="99">
        <v>2</v>
      </c>
      <c r="AP32" s="172" t="s">
        <v>4258</v>
      </c>
      <c r="AQ32" s="99">
        <v>24813</v>
      </c>
      <c r="AR32" s="99" t="s">
        <v>4255</v>
      </c>
      <c r="AS32" s="99" t="s">
        <v>4260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99"/>
      <c r="L33" s="99"/>
      <c r="M33" s="171"/>
      <c r="N33" s="113"/>
      <c r="O33" s="99"/>
      <c r="P33" s="99"/>
      <c r="Q33" s="172">
        <v>3759803</v>
      </c>
      <c r="R33" s="171" t="s">
        <v>4276</v>
      </c>
      <c r="S33" s="171">
        <f>S32-21</f>
        <v>11</v>
      </c>
      <c r="T33" s="171" t="s">
        <v>4285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149</v>
      </c>
      <c r="AK33" s="113">
        <f t="shared" si="5"/>
        <v>2982592600</v>
      </c>
      <c r="AL33" s="99"/>
      <c r="AN33" s="96"/>
      <c r="AO33" s="99">
        <v>3</v>
      </c>
      <c r="AP33" s="172" t="s">
        <v>4258</v>
      </c>
      <c r="AQ33" s="99">
        <v>26189</v>
      </c>
      <c r="AR33" s="99" t="s">
        <v>4276</v>
      </c>
      <c r="AS33" s="99" t="s">
        <v>4277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32"/>
      <c r="N34" s="113"/>
      <c r="O34" s="99"/>
      <c r="P34" s="99"/>
      <c r="Q34" s="172">
        <v>54501</v>
      </c>
      <c r="R34" s="171" t="s">
        <v>4294</v>
      </c>
      <c r="S34" s="171">
        <f>S33-4</f>
        <v>7</v>
      </c>
      <c r="T34" s="171" t="s">
        <v>4293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149</v>
      </c>
      <c r="AK34" s="113">
        <f t="shared" si="5"/>
        <v>151155434</v>
      </c>
      <c r="AL34" s="99"/>
      <c r="AN34" s="96"/>
      <c r="AO34" s="185"/>
      <c r="AP34" s="186" t="s">
        <v>4261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56"/>
      <c r="L35" s="117"/>
      <c r="M35" s="171" t="s">
        <v>4189</v>
      </c>
      <c r="N35" s="113">
        <f t="shared" ref="N35:N42" si="8">O35*P35</f>
        <v>230466568.5</v>
      </c>
      <c r="O35" s="99">
        <v>1065495</v>
      </c>
      <c r="P35" s="99">
        <v>216.3</v>
      </c>
      <c r="Q35" s="172">
        <v>11344820</v>
      </c>
      <c r="R35" s="171" t="s">
        <v>4336</v>
      </c>
      <c r="S35" s="171">
        <f>S34-6</f>
        <v>1</v>
      </c>
      <c r="T35" s="171" t="s">
        <v>4341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137</v>
      </c>
      <c r="AK35" s="113">
        <f t="shared" si="5"/>
        <v>49320000</v>
      </c>
      <c r="AL35" s="99"/>
      <c r="AN35" s="96"/>
      <c r="AO35" s="185"/>
      <c r="AP35" s="186" t="s">
        <v>4258</v>
      </c>
      <c r="AQ35" s="185">
        <v>19666</v>
      </c>
      <c r="AR35" s="185" t="s">
        <v>4276</v>
      </c>
      <c r="AS35" s="185" t="s">
        <v>4278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7"/>
        <v>366196750.44670284</v>
      </c>
      <c r="F36" s="3"/>
      <c r="G36" s="11"/>
      <c r="H36" s="11"/>
      <c r="K36" s="56"/>
      <c r="L36" s="117"/>
      <c r="M36" s="99" t="s">
        <v>4275</v>
      </c>
      <c r="N36" s="113">
        <f t="shared" si="8"/>
        <v>4253755.8</v>
      </c>
      <c r="O36" s="99">
        <v>19666</v>
      </c>
      <c r="P36" s="99">
        <f>P35</f>
        <v>216.3</v>
      </c>
      <c r="Q36" s="172">
        <v>20339135</v>
      </c>
      <c r="R36" s="171" t="s">
        <v>4350</v>
      </c>
      <c r="S36" s="171">
        <f>S35-1</f>
        <v>0</v>
      </c>
      <c r="T36" s="171" t="s">
        <v>4349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135</v>
      </c>
      <c r="AK36" s="113">
        <f t="shared" si="5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7"/>
        <v>374373315.81956631</v>
      </c>
      <c r="F37" s="3"/>
      <c r="G37" s="11"/>
      <c r="H37" s="11"/>
      <c r="K37" s="56"/>
      <c r="L37" s="117"/>
      <c r="M37" s="99"/>
      <c r="N37" s="113"/>
      <c r="O37" s="99"/>
      <c r="P37" s="99"/>
      <c r="Q37" s="172">
        <v>9788061</v>
      </c>
      <c r="R37" s="171" t="s">
        <v>4350</v>
      </c>
      <c r="S37" s="171">
        <f>S36</f>
        <v>0</v>
      </c>
      <c r="T37" s="171" t="s">
        <v>4351</v>
      </c>
      <c r="U37" s="96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135</v>
      </c>
      <c r="AK37" s="113">
        <f t="shared" si="5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7"/>
        <v>382721938.80352634</v>
      </c>
      <c r="F38" s="3"/>
      <c r="G38" s="11"/>
      <c r="H38" s="11"/>
      <c r="K38" s="56"/>
      <c r="L38" s="117"/>
      <c r="M38" s="99" t="s">
        <v>4295</v>
      </c>
      <c r="N38" s="113">
        <f t="shared" si="8"/>
        <v>66805</v>
      </c>
      <c r="O38" s="187">
        <v>155</v>
      </c>
      <c r="P38" s="99">
        <v>431</v>
      </c>
      <c r="Q38" s="172"/>
      <c r="R38" s="171"/>
      <c r="S38" s="171"/>
      <c r="T38" s="171"/>
      <c r="U38" s="96" t="s">
        <v>25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134</v>
      </c>
      <c r="AK38" s="113">
        <f t="shared" si="5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7"/>
        <v>391246145.81384128</v>
      </c>
      <c r="F39" s="3"/>
      <c r="G39" s="11"/>
      <c r="H39" s="11"/>
      <c r="K39" s="56"/>
      <c r="L39" s="117"/>
      <c r="M39" s="99" t="s">
        <v>966</v>
      </c>
      <c r="N39" s="113">
        <f t="shared" si="8"/>
        <v>0</v>
      </c>
      <c r="O39" s="69">
        <v>0</v>
      </c>
      <c r="P39" s="69">
        <v>80387</v>
      </c>
      <c r="Q39" s="113">
        <f>SUM(N33:N42)-SUM(Q32:Q37)</f>
        <v>35900769.300000012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130</v>
      </c>
      <c r="AK39" s="113">
        <f t="shared" si="5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7"/>
        <v>399949534.64670491</v>
      </c>
      <c r="F40" s="3"/>
      <c r="G40" s="11"/>
      <c r="H40" s="11"/>
      <c r="K40" s="56"/>
      <c r="L40" s="117"/>
      <c r="M40" s="99"/>
      <c r="N40" s="113"/>
      <c r="O40" s="69"/>
      <c r="P40" s="69"/>
      <c r="Q40" s="26"/>
      <c r="R40" s="188"/>
      <c r="S40" s="188"/>
      <c r="T40" t="s">
        <v>25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127</v>
      </c>
      <c r="AK40" s="113">
        <f t="shared" si="5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7"/>
        <v>408835775.91539168</v>
      </c>
      <c r="F41" s="3"/>
      <c r="G41" s="11"/>
      <c r="H41" s="11"/>
      <c r="K41" s="99"/>
      <c r="L41" s="99"/>
      <c r="M41" s="99" t="s">
        <v>4334</v>
      </c>
      <c r="N41" s="113">
        <f t="shared" si="8"/>
        <v>22192812</v>
      </c>
      <c r="O41" s="69">
        <v>122680</v>
      </c>
      <c r="P41" s="69">
        <v>180.9</v>
      </c>
      <c r="R41" t="s">
        <v>25</v>
      </c>
      <c r="T41" t="s">
        <v>25</v>
      </c>
      <c r="V41"/>
      <c r="X41">
        <v>218</v>
      </c>
      <c r="Y41">
        <v>10000</v>
      </c>
      <c r="Z41">
        <f>X41*Y41</f>
        <v>2180000</v>
      </c>
      <c r="AB41" t="s">
        <v>25</v>
      </c>
      <c r="AC41" t="s">
        <v>25</v>
      </c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123</v>
      </c>
      <c r="AK41" s="113">
        <f t="shared" si="5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7"/>
        <v>417908614.51520973</v>
      </c>
      <c r="F42" s="3"/>
      <c r="G42" s="11"/>
      <c r="H42" s="11"/>
      <c r="K42" s="99"/>
      <c r="L42" s="99"/>
      <c r="M42" s="99" t="s">
        <v>4340</v>
      </c>
      <c r="N42" s="117">
        <f t="shared" si="8"/>
        <v>11030292</v>
      </c>
      <c r="O42" s="69">
        <v>80808</v>
      </c>
      <c r="P42" s="69">
        <v>136.5</v>
      </c>
      <c r="Q42" t="s">
        <v>25</v>
      </c>
      <c r="R42" t="s">
        <v>25</v>
      </c>
      <c r="T42" t="s">
        <v>951</v>
      </c>
      <c r="U42">
        <v>6.3E-3</v>
      </c>
      <c r="V42"/>
      <c r="X42">
        <v>216.1</v>
      </c>
      <c r="Y42">
        <v>10000</v>
      </c>
      <c r="Z42" s="96">
        <f t="shared" ref="Z42:Z44" si="11">X42*Y42</f>
        <v>2161000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122</v>
      </c>
      <c r="AK42" s="113">
        <f t="shared" si="5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7"/>
        <v>427171871.11783922</v>
      </c>
      <c r="F43" s="3"/>
      <c r="G43" s="11"/>
      <c r="H43" s="11"/>
      <c r="K43" s="99"/>
      <c r="L43" s="99"/>
      <c r="M43" s="73"/>
      <c r="N43" s="117"/>
      <c r="O43" s="96" t="s">
        <v>25</v>
      </c>
      <c r="Q43" t="s">
        <v>25</v>
      </c>
      <c r="S43" t="s">
        <v>25</v>
      </c>
      <c r="T43" t="s">
        <v>61</v>
      </c>
      <c r="U43">
        <v>4.8999999999999998E-3</v>
      </c>
      <c r="V43"/>
      <c r="X43">
        <v>215</v>
      </c>
      <c r="Y43">
        <v>33931</v>
      </c>
      <c r="Z43" s="96">
        <f t="shared" si="11"/>
        <v>7295165</v>
      </c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122</v>
      </c>
      <c r="AK43" s="113">
        <f t="shared" si="5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7"/>
        <v>436629443.69564456</v>
      </c>
      <c r="F44" s="3"/>
      <c r="G44" s="11"/>
      <c r="H44" s="11"/>
      <c r="K44" s="99"/>
      <c r="L44" s="99"/>
      <c r="M44" s="171" t="s">
        <v>1156</v>
      </c>
      <c r="N44" s="117">
        <v>14908</v>
      </c>
      <c r="O44" s="96" t="s">
        <v>25</v>
      </c>
      <c r="P44" t="s">
        <v>25</v>
      </c>
      <c r="Q44" s="96">
        <f>O35+O36+O19-O47</f>
        <v>1040791</v>
      </c>
      <c r="R44" s="113">
        <f>Q44*P35</f>
        <v>225123093.30000001</v>
      </c>
      <c r="S44" t="s">
        <v>25</v>
      </c>
      <c r="T44" t="s">
        <v>6</v>
      </c>
      <c r="U44">
        <f>U42+U43</f>
        <v>1.12E-2</v>
      </c>
      <c r="V44"/>
      <c r="X44">
        <v>213</v>
      </c>
      <c r="Y44">
        <v>40418</v>
      </c>
      <c r="Z44" s="96">
        <f t="shared" si="11"/>
        <v>8609034</v>
      </c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121</v>
      </c>
      <c r="AK44" s="113">
        <f t="shared" si="5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7"/>
        <v>446285309.07656044</v>
      </c>
      <c r="F45" s="3"/>
      <c r="G45" s="11"/>
      <c r="H45" s="11"/>
      <c r="K45" s="99"/>
      <c r="L45" s="99"/>
      <c r="M45" s="171" t="s">
        <v>1157</v>
      </c>
      <c r="N45" s="117">
        <v>5282</v>
      </c>
      <c r="O45" s="96"/>
      <c r="Q45" t="s">
        <v>4291</v>
      </c>
      <c r="R45" t="s">
        <v>4288</v>
      </c>
      <c r="T45" t="s">
        <v>25</v>
      </c>
      <c r="Y45">
        <f>SUM(Y41:Y44)</f>
        <v>94349</v>
      </c>
      <c r="Z45">
        <f>SUM(Z41:Z44)</f>
        <v>20245199</v>
      </c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120</v>
      </c>
      <c r="AK45" s="113">
        <f t="shared" si="5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7"/>
        <v>456143524.53016472</v>
      </c>
      <c r="F46" s="3"/>
      <c r="G46" s="11"/>
      <c r="H46" s="11"/>
      <c r="K46" s="171"/>
      <c r="L46" s="117"/>
      <c r="M46" s="171"/>
      <c r="N46" s="113"/>
      <c r="O46" s="115"/>
      <c r="P46" s="115"/>
      <c r="R46" t="s">
        <v>25</v>
      </c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113</v>
      </c>
      <c r="AK46" s="113">
        <f t="shared" si="5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7"/>
        <v>466208229.38556182</v>
      </c>
      <c r="F47" s="3"/>
      <c r="G47" s="11"/>
      <c r="H47" s="11"/>
      <c r="K47" s="171" t="s">
        <v>25</v>
      </c>
      <c r="L47" s="117"/>
      <c r="M47" s="171" t="s">
        <v>4190</v>
      </c>
      <c r="N47" s="113">
        <f>-O47*P47</f>
        <v>-19985687.400000002</v>
      </c>
      <c r="O47" s="99">
        <v>92398</v>
      </c>
      <c r="P47" s="99">
        <f>P35</f>
        <v>216.3</v>
      </c>
      <c r="Y47">
        <f>Z45/Y45</f>
        <v>214.57778036863135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107</v>
      </c>
      <c r="AK47" s="113">
        <f t="shared" si="5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171"/>
      <c r="L48" s="117"/>
      <c r="M48" s="171"/>
      <c r="N48" s="113"/>
      <c r="O48" s="96"/>
      <c r="P48" s="96"/>
      <c r="T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106</v>
      </c>
      <c r="AK48" s="113">
        <f t="shared" si="5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7"/>
        <v>486974084.8508752</v>
      </c>
      <c r="F49" s="3"/>
      <c r="G49" s="11"/>
      <c r="H49" s="11"/>
      <c r="K49" s="171" t="s">
        <v>598</v>
      </c>
      <c r="L49" s="113">
        <f>SUM(L16:L41)</f>
        <v>285059560</v>
      </c>
      <c r="M49" s="171"/>
      <c r="N49" s="113">
        <f>SUM(N16:N48)</f>
        <v>424404804.10000002</v>
      </c>
      <c r="O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106</v>
      </c>
      <c r="AK49" s="113">
        <f t="shared" si="5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7"/>
        <v>497683939.43577409</v>
      </c>
      <c r="F50" s="51"/>
      <c r="G50" s="11"/>
      <c r="H50" s="11"/>
      <c r="K50" s="171" t="s">
        <v>599</v>
      </c>
      <c r="L50" s="113">
        <f>L16+L17+L21</f>
        <v>173202</v>
      </c>
      <c r="M50" s="171"/>
      <c r="N50" s="113">
        <f>N16+N17+N26</f>
        <v>-7446706</v>
      </c>
      <c r="R50" t="s">
        <v>939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103</v>
      </c>
      <c r="AK50" s="113">
        <f t="shared" si="5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7"/>
        <v>508617694.84124976</v>
      </c>
      <c r="F51" s="3"/>
      <c r="G51" s="11"/>
      <c r="H51" s="11"/>
      <c r="K51" s="56" t="s">
        <v>716</v>
      </c>
      <c r="L51" s="1">
        <f>L49+N7</f>
        <v>355059560</v>
      </c>
      <c r="M51" s="113"/>
      <c r="N51" s="171"/>
      <c r="O51" s="22"/>
      <c r="P51" s="99" t="s">
        <v>4258</v>
      </c>
      <c r="Q51" s="99">
        <v>216.1</v>
      </c>
      <c r="R51" s="99">
        <v>10000</v>
      </c>
      <c r="S51" s="99" t="s">
        <v>61</v>
      </c>
      <c r="T51" s="99">
        <v>222.5</v>
      </c>
      <c r="U51" s="99" t="s">
        <v>4352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101</v>
      </c>
      <c r="AK51" s="113">
        <f t="shared" si="5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7"/>
        <v>519779926.12100261</v>
      </c>
      <c r="F52" s="3"/>
      <c r="G52" s="11"/>
      <c r="H52" s="11"/>
      <c r="M52" t="s">
        <v>4319</v>
      </c>
      <c r="P52" s="99" t="s">
        <v>4258</v>
      </c>
      <c r="Q52" s="99">
        <v>215</v>
      </c>
      <c r="R52" s="99">
        <v>33931</v>
      </c>
      <c r="S52" s="99" t="s">
        <v>1021</v>
      </c>
      <c r="T52" s="99">
        <v>221.5</v>
      </c>
      <c r="U52" s="99" t="s">
        <v>4352</v>
      </c>
      <c r="AB52" t="s">
        <v>25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87</v>
      </c>
      <c r="AK52" s="113">
        <f t="shared" si="5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7"/>
        <v>531175300.80017978</v>
      </c>
      <c r="F53" s="3"/>
      <c r="G53" s="11"/>
      <c r="H53" s="11"/>
      <c r="M53" s="25" t="s">
        <v>4118</v>
      </c>
      <c r="O53" t="s">
        <v>25</v>
      </c>
      <c r="P53" s="99" t="s">
        <v>4258</v>
      </c>
      <c r="Q53" s="99">
        <v>213</v>
      </c>
      <c r="R53" s="99">
        <v>40418</v>
      </c>
      <c r="S53" s="99" t="s">
        <v>61</v>
      </c>
      <c r="T53" s="99">
        <v>219.5</v>
      </c>
      <c r="U53" s="99" t="s">
        <v>4352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86</v>
      </c>
      <c r="AK53" s="113">
        <f t="shared" si="5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7"/>
        <v>542808580.73450804</v>
      </c>
      <c r="F54" s="3"/>
      <c r="G54" s="11"/>
      <c r="H54" s="11"/>
      <c r="M54" s="25" t="s">
        <v>4086</v>
      </c>
      <c r="P54" s="99" t="s">
        <v>25</v>
      </c>
      <c r="Q54" s="99"/>
      <c r="R54" s="99"/>
      <c r="S54" s="99"/>
      <c r="T54" s="99"/>
      <c r="U54" s="99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82</v>
      </c>
      <c r="AK54" s="113">
        <f t="shared" si="5"/>
        <v>61500000</v>
      </c>
      <c r="AL54" s="99"/>
    </row>
    <row r="55" spans="1:38" ht="30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7"/>
        <v>554684624.00670612</v>
      </c>
      <c r="F55" s="3"/>
      <c r="G55" s="11"/>
      <c r="H55" s="11"/>
      <c r="M55" s="180" t="s">
        <v>4122</v>
      </c>
      <c r="P55" s="99"/>
      <c r="Q55" s="171"/>
      <c r="R55" s="171"/>
      <c r="S55" s="99"/>
      <c r="T55" s="99"/>
      <c r="U55" s="99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80</v>
      </c>
      <c r="AK55" s="173">
        <f t="shared" si="5"/>
        <v>-339360000</v>
      </c>
      <c r="AL55" s="174" t="s">
        <v>4068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7"/>
        <v>566808386.86092329</v>
      </c>
      <c r="F56" s="3"/>
      <c r="G56" s="11"/>
      <c r="H56" s="11"/>
      <c r="K56" s="3"/>
      <c r="L56" s="11" t="s">
        <v>304</v>
      </c>
      <c r="M56" s="122"/>
      <c r="N56" s="96"/>
      <c r="P56" s="115"/>
      <c r="Q56" s="188"/>
      <c r="R56" s="188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78</v>
      </c>
      <c r="AK56" s="113">
        <f t="shared" si="5"/>
        <v>319800000</v>
      </c>
      <c r="AL56" s="99"/>
    </row>
    <row r="57" spans="1:38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7"/>
        <v>579184925.67596567</v>
      </c>
      <c r="F57" s="3"/>
      <c r="G57" s="11"/>
      <c r="H57" s="11"/>
      <c r="K57" s="1" t="s">
        <v>305</v>
      </c>
      <c r="L57" s="1">
        <v>70000</v>
      </c>
      <c r="M57" s="122" t="s">
        <v>4320</v>
      </c>
      <c r="N57" s="96" t="s">
        <v>25</v>
      </c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78</v>
      </c>
      <c r="AK57" s="113">
        <f t="shared" si="5"/>
        <v>319800000</v>
      </c>
      <c r="AL57" s="99"/>
    </row>
    <row r="58" spans="1:38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7"/>
        <v>591819398.97808707</v>
      </c>
      <c r="F58" s="3"/>
      <c r="G58" s="11"/>
      <c r="H58" s="11"/>
      <c r="K58" s="1" t="s">
        <v>321</v>
      </c>
      <c r="L58" s="1">
        <v>100000</v>
      </c>
      <c r="M58" s="122" t="s">
        <v>4321</v>
      </c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77</v>
      </c>
      <c r="AK58" s="113">
        <f t="shared" si="5"/>
        <v>60830000</v>
      </c>
      <c r="AL58" s="99"/>
    </row>
    <row r="59" spans="1:38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7"/>
        <v>604717069.49413705</v>
      </c>
      <c r="F59" s="3"/>
      <c r="G59" s="11"/>
      <c r="H59" s="11"/>
      <c r="K59" s="1" t="s">
        <v>306</v>
      </c>
      <c r="L59" s="1">
        <v>80000</v>
      </c>
      <c r="M59" s="122" t="s">
        <v>4322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62</v>
      </c>
      <c r="AK59" s="175">
        <f t="shared" si="5"/>
        <v>-239630000</v>
      </c>
      <c r="AL59" s="174" t="s">
        <v>4069</v>
      </c>
    </row>
    <row r="60" spans="1:38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7"/>
        <v>617883306.24587286</v>
      </c>
      <c r="F60" s="3"/>
      <c r="G60" s="11"/>
      <c r="H60" s="11"/>
      <c r="K60" s="31" t="s">
        <v>307</v>
      </c>
      <c r="L60" s="1">
        <v>150000</v>
      </c>
      <c r="M60" s="122" t="s">
        <v>4323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56</v>
      </c>
      <c r="AK60" s="113">
        <f t="shared" si="5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7"/>
        <v>631323586.68626177</v>
      </c>
      <c r="F61" s="3"/>
      <c r="G61" s="11"/>
      <c r="H61" s="11"/>
      <c r="K61" s="31" t="s">
        <v>308</v>
      </c>
      <c r="L61" s="1">
        <v>300000</v>
      </c>
      <c r="M61" s="193" t="s">
        <v>4324</v>
      </c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53</v>
      </c>
      <c r="AK61" s="113">
        <f t="shared" si="5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7"/>
        <v>645043498.87861323</v>
      </c>
      <c r="F62" s="3"/>
      <c r="G62" s="11"/>
      <c r="H62" s="11"/>
      <c r="K62" s="31" t="s">
        <v>309</v>
      </c>
      <c r="L62" s="1">
        <v>100000</v>
      </c>
      <c r="M62" s="194" t="s">
        <v>4327</v>
      </c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52</v>
      </c>
      <c r="AK62" s="113">
        <f t="shared" si="5"/>
        <v>10400000</v>
      </c>
      <c r="AL62" s="20"/>
    </row>
    <row r="63" spans="1:38" x14ac:dyDescent="0.25">
      <c r="E63" s="26"/>
      <c r="K63" s="31" t="s">
        <v>310</v>
      </c>
      <c r="L63" s="1">
        <v>200000</v>
      </c>
      <c r="M63" s="122" t="s">
        <v>4346</v>
      </c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49</v>
      </c>
      <c r="AK63" s="113">
        <f t="shared" si="5"/>
        <v>49000000</v>
      </c>
      <c r="AL63" s="20"/>
    </row>
    <row r="64" spans="1:38" x14ac:dyDescent="0.25">
      <c r="E64" s="26"/>
      <c r="K64" s="18" t="s">
        <v>311</v>
      </c>
      <c r="L64" s="18">
        <v>300000</v>
      </c>
      <c r="M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46</v>
      </c>
      <c r="AK64" s="113">
        <f t="shared" si="5"/>
        <v>59800000</v>
      </c>
      <c r="AL64" s="20"/>
    </row>
    <row r="65" spans="1:38" x14ac:dyDescent="0.25">
      <c r="K65" s="32" t="s">
        <v>312</v>
      </c>
      <c r="L65" s="1">
        <v>200000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2">AJ66+AI65</f>
        <v>46</v>
      </c>
      <c r="AK65" s="113">
        <f t="shared" si="5"/>
        <v>45770000</v>
      </c>
      <c r="AL65" s="20"/>
    </row>
    <row r="66" spans="1:38" x14ac:dyDescent="0.25">
      <c r="K66" s="32" t="s">
        <v>313</v>
      </c>
      <c r="L66" s="1">
        <v>20000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2"/>
        <v>44</v>
      </c>
      <c r="AK66" s="113">
        <f t="shared" si="5"/>
        <v>572000000</v>
      </c>
      <c r="AL66" s="20"/>
    </row>
    <row r="67" spans="1:38" x14ac:dyDescent="0.25">
      <c r="A67" t="s">
        <v>25</v>
      </c>
      <c r="F67" t="s">
        <v>310</v>
      </c>
      <c r="G67" t="s">
        <v>4105</v>
      </c>
      <c r="K67" s="32" t="s">
        <v>315</v>
      </c>
      <c r="L67" s="1">
        <v>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2"/>
        <v>42</v>
      </c>
      <c r="AK67" s="113">
        <f t="shared" si="5"/>
        <v>-130200000</v>
      </c>
      <c r="AL67" s="20"/>
    </row>
    <row r="68" spans="1:38" x14ac:dyDescent="0.25">
      <c r="F68" t="s">
        <v>4109</v>
      </c>
      <c r="G68" t="s">
        <v>4104</v>
      </c>
      <c r="K68" s="32" t="s">
        <v>316</v>
      </c>
      <c r="L68" s="1">
        <v>90000</v>
      </c>
      <c r="M68" s="96"/>
      <c r="N68" s="96"/>
      <c r="O68" s="96"/>
      <c r="P68" s="115"/>
      <c r="Q68" s="115"/>
      <c r="R68" s="115"/>
      <c r="S68" s="115"/>
      <c r="W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2"/>
        <v>39</v>
      </c>
      <c r="AK68" s="113">
        <f t="shared" si="5"/>
        <v>1779960000</v>
      </c>
      <c r="AL68" s="20"/>
    </row>
    <row r="69" spans="1:38" x14ac:dyDescent="0.25">
      <c r="F69" t="s">
        <v>4110</v>
      </c>
      <c r="G69" t="s">
        <v>4106</v>
      </c>
      <c r="K69" s="32" t="s">
        <v>317</v>
      </c>
      <c r="L69" s="1">
        <v>50000</v>
      </c>
      <c r="M69" s="96"/>
      <c r="N69" s="96"/>
      <c r="O69" s="96"/>
      <c r="P69" s="115"/>
      <c r="Q69" s="115"/>
      <c r="R69" s="115"/>
      <c r="S69" s="115"/>
      <c r="T69" s="115"/>
      <c r="W69" s="165"/>
      <c r="AF69" s="20">
        <v>49</v>
      </c>
      <c r="AG69" s="117" t="s">
        <v>4161</v>
      </c>
      <c r="AH69" s="117">
        <v>33500000</v>
      </c>
      <c r="AI69" s="20">
        <v>1</v>
      </c>
      <c r="AJ69" s="99">
        <f t="shared" si="12"/>
        <v>38</v>
      </c>
      <c r="AK69" s="113">
        <f t="shared" si="5"/>
        <v>1273000000</v>
      </c>
      <c r="AL69" s="20"/>
    </row>
    <row r="70" spans="1:38" x14ac:dyDescent="0.25">
      <c r="G70" t="s">
        <v>4107</v>
      </c>
      <c r="K70" s="32" t="s">
        <v>327</v>
      </c>
      <c r="L70" s="1">
        <v>150000</v>
      </c>
      <c r="M70" s="96"/>
      <c r="N70" s="96"/>
      <c r="O70" s="96"/>
      <c r="P70" s="115"/>
      <c r="Q70" s="115"/>
      <c r="R70" s="115"/>
      <c r="S70" s="115"/>
      <c r="T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4166</v>
      </c>
      <c r="AH70" s="117">
        <v>12000000</v>
      </c>
      <c r="AI70" s="20">
        <v>1</v>
      </c>
      <c r="AJ70" s="99">
        <f t="shared" si="12"/>
        <v>37</v>
      </c>
      <c r="AK70" s="117">
        <f t="shared" si="5"/>
        <v>444000000</v>
      </c>
      <c r="AL70" s="20"/>
    </row>
    <row r="71" spans="1:38" x14ac:dyDescent="0.25">
      <c r="G71" t="s">
        <v>4108</v>
      </c>
      <c r="K71" s="32" t="s">
        <v>318</v>
      </c>
      <c r="L71" s="1">
        <v>15000</v>
      </c>
      <c r="N71" s="96"/>
      <c r="P71" s="115"/>
      <c r="Q71" s="55"/>
      <c r="R71" s="189"/>
      <c r="S71" s="115"/>
      <c r="T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4172</v>
      </c>
      <c r="AH71" s="117">
        <v>15500000</v>
      </c>
      <c r="AI71" s="20">
        <v>4</v>
      </c>
      <c r="AJ71" s="99">
        <f t="shared" si="12"/>
        <v>36</v>
      </c>
      <c r="AK71" s="117">
        <f t="shared" si="5"/>
        <v>558000000</v>
      </c>
      <c r="AL71" s="20"/>
    </row>
    <row r="72" spans="1:38" x14ac:dyDescent="0.25">
      <c r="G72" t="s">
        <v>4112</v>
      </c>
      <c r="K72" s="32" t="s">
        <v>319</v>
      </c>
      <c r="L72" s="1">
        <v>20000</v>
      </c>
      <c r="N72" s="96"/>
      <c r="P72" s="115"/>
      <c r="Q72" s="55"/>
      <c r="R72" s="189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4176</v>
      </c>
      <c r="AH72" s="117">
        <v>150000</v>
      </c>
      <c r="AI72" s="20">
        <v>1</v>
      </c>
      <c r="AJ72" s="99">
        <f t="shared" si="12"/>
        <v>32</v>
      </c>
      <c r="AK72" s="117">
        <f t="shared" si="5"/>
        <v>4800000</v>
      </c>
      <c r="AL72" s="20"/>
    </row>
    <row r="73" spans="1:38" x14ac:dyDescent="0.25">
      <c r="G73" t="s">
        <v>4111</v>
      </c>
      <c r="K73" s="32" t="s">
        <v>320</v>
      </c>
      <c r="L73" s="1">
        <v>40000</v>
      </c>
      <c r="N73" s="96"/>
      <c r="P73" s="115"/>
      <c r="Q73" s="26"/>
      <c r="R73" s="189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4182</v>
      </c>
      <c r="AH73" s="184">
        <v>29000000</v>
      </c>
      <c r="AI73" s="183">
        <v>15</v>
      </c>
      <c r="AJ73" s="183">
        <f t="shared" si="12"/>
        <v>31</v>
      </c>
      <c r="AK73" s="184">
        <f t="shared" si="5"/>
        <v>899000000</v>
      </c>
      <c r="AL73" s="183" t="s">
        <v>4197</v>
      </c>
    </row>
    <row r="74" spans="1:38" x14ac:dyDescent="0.25">
      <c r="K74" s="32" t="s">
        <v>322</v>
      </c>
      <c r="L74" s="1">
        <v>150000</v>
      </c>
      <c r="N74" s="96"/>
      <c r="P74" s="115"/>
      <c r="Q74" s="55"/>
      <c r="R74" s="189"/>
      <c r="S74" s="122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4224</v>
      </c>
      <c r="AH74" s="117">
        <v>-130000</v>
      </c>
      <c r="AI74" s="20">
        <v>7</v>
      </c>
      <c r="AJ74" s="99">
        <f t="shared" si="12"/>
        <v>16</v>
      </c>
      <c r="AK74" s="117">
        <f t="shared" si="5"/>
        <v>-2080000</v>
      </c>
      <c r="AL74" s="20" t="s">
        <v>4226</v>
      </c>
    </row>
    <row r="75" spans="1:38" x14ac:dyDescent="0.25">
      <c r="K75" s="32" t="s">
        <v>324</v>
      </c>
      <c r="L75" s="1">
        <v>75000</v>
      </c>
      <c r="P75" s="115"/>
      <c r="Q75" s="55"/>
      <c r="R75" s="189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4280</v>
      </c>
      <c r="AH75" s="117">
        <v>232000</v>
      </c>
      <c r="AI75" s="20">
        <v>2</v>
      </c>
      <c r="AJ75" s="99">
        <f t="shared" si="12"/>
        <v>9</v>
      </c>
      <c r="AK75" s="117">
        <f>AH75*AJ75</f>
        <v>2088000</v>
      </c>
      <c r="AL75" s="20" t="s">
        <v>4282</v>
      </c>
    </row>
    <row r="76" spans="1:38" x14ac:dyDescent="0.25">
      <c r="K76" s="32" t="s">
        <v>314</v>
      </c>
      <c r="L76" s="1">
        <v>140000</v>
      </c>
      <c r="P76" s="115"/>
      <c r="Q76" s="122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4294</v>
      </c>
      <c r="AH76" s="117">
        <v>-170000</v>
      </c>
      <c r="AI76" s="20">
        <v>3</v>
      </c>
      <c r="AJ76" s="99">
        <f t="shared" si="12"/>
        <v>7</v>
      </c>
      <c r="AK76" s="117">
        <f t="shared" si="5"/>
        <v>-1190000</v>
      </c>
      <c r="AL76" s="20"/>
    </row>
    <row r="77" spans="1:38" x14ac:dyDescent="0.25">
      <c r="K77" s="2" t="s">
        <v>478</v>
      </c>
      <c r="L77" s="3">
        <v>1083333</v>
      </c>
      <c r="P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4309</v>
      </c>
      <c r="AH77" s="117">
        <v>-300000</v>
      </c>
      <c r="AI77" s="20">
        <v>3</v>
      </c>
      <c r="AJ77" s="99">
        <f t="shared" si="12"/>
        <v>4</v>
      </c>
      <c r="AK77" s="117">
        <f t="shared" si="5"/>
        <v>-1200000</v>
      </c>
      <c r="AL77" s="20"/>
    </row>
    <row r="78" spans="1:38" x14ac:dyDescent="0.25">
      <c r="K78" s="2"/>
      <c r="L78" s="3"/>
      <c r="P78" s="128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4336</v>
      </c>
      <c r="AH78" s="117">
        <v>-11400000</v>
      </c>
      <c r="AI78" s="20">
        <v>1</v>
      </c>
      <c r="AJ78" s="99">
        <f t="shared" si="12"/>
        <v>1</v>
      </c>
      <c r="AK78" s="117">
        <f t="shared" si="5"/>
        <v>-11400000</v>
      </c>
      <c r="AL78" s="20"/>
    </row>
    <row r="79" spans="1:38" x14ac:dyDescent="0.25">
      <c r="K79" s="2"/>
      <c r="L79" s="3"/>
      <c r="P79" s="128"/>
      <c r="Q79" s="22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2"/>
        <v>0</v>
      </c>
      <c r="AK79" s="117">
        <f t="shared" si="5"/>
        <v>0</v>
      </c>
      <c r="AL79" s="20"/>
    </row>
    <row r="80" spans="1:38" x14ac:dyDescent="0.25">
      <c r="K80" s="2" t="s">
        <v>6</v>
      </c>
      <c r="L80" s="3">
        <f>SUM(L57:L78)</f>
        <v>3383333</v>
      </c>
      <c r="P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12"/>
        <v>0</v>
      </c>
      <c r="AK80" s="117">
        <f t="shared" si="5"/>
        <v>0</v>
      </c>
      <c r="AL80" s="20"/>
    </row>
    <row r="81" spans="11:50" x14ac:dyDescent="0.25">
      <c r="K81" s="2" t="s">
        <v>328</v>
      </c>
      <c r="L81" s="3">
        <f>L80/30</f>
        <v>112777.76666666666</v>
      </c>
      <c r="X81" s="115"/>
      <c r="Y81" s="115"/>
      <c r="AC81" s="115"/>
      <c r="AD81" s="115"/>
      <c r="AF81" s="99"/>
      <c r="AG81" s="113"/>
      <c r="AH81" s="113"/>
      <c r="AI81" s="99"/>
      <c r="AJ81" s="99">
        <f t="shared" si="12"/>
        <v>0</v>
      </c>
      <c r="AK81" s="117">
        <f t="shared" si="5"/>
        <v>0</v>
      </c>
      <c r="AL81" s="99"/>
    </row>
    <row r="82" spans="11:50" x14ac:dyDescent="0.25">
      <c r="O82" s="115"/>
      <c r="AD82" s="115"/>
      <c r="AF82" s="99"/>
      <c r="AG82" s="113"/>
      <c r="AH82" s="113"/>
      <c r="AI82" s="99"/>
      <c r="AJ82" s="99">
        <f t="shared" si="12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O83" s="115"/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8" t="s">
        <v>789</v>
      </c>
      <c r="L87" s="48" t="s">
        <v>476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700000</v>
      </c>
      <c r="L88" s="48" t="s">
        <v>1041</v>
      </c>
      <c r="AF88" s="99"/>
      <c r="AG88" s="99" t="s">
        <v>4067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500000</v>
      </c>
      <c r="L89" s="48" t="s">
        <v>479</v>
      </c>
      <c r="AG89" t="s">
        <v>4070</v>
      </c>
      <c r="AH89" s="114">
        <f>SUM(N35:N42)</f>
        <v>268010233.30000001</v>
      </c>
      <c r="AO89" t="s">
        <v>25</v>
      </c>
      <c r="AT89" t="s">
        <v>25</v>
      </c>
    </row>
    <row r="90" spans="11:50" x14ac:dyDescent="0.25">
      <c r="K90" s="47">
        <v>180000</v>
      </c>
      <c r="L90" s="48" t="s">
        <v>558</v>
      </c>
      <c r="AG90" t="s">
        <v>4144</v>
      </c>
      <c r="AH90" s="114">
        <f>AH89-AH83</f>
        <v>57186334.300000012</v>
      </c>
    </row>
    <row r="91" spans="11:50" x14ac:dyDescent="0.25">
      <c r="K91" s="47">
        <v>0</v>
      </c>
      <c r="L91" s="48" t="s">
        <v>785</v>
      </c>
      <c r="AG91" t="s">
        <v>945</v>
      </c>
      <c r="AH91" s="114">
        <f>AL83</f>
        <v>9258314.9258064516</v>
      </c>
      <c r="AR91" s="96" t="s">
        <v>25</v>
      </c>
    </row>
    <row r="92" spans="11:50" x14ac:dyDescent="0.25">
      <c r="K92" s="47">
        <v>0</v>
      </c>
      <c r="L92" s="48" t="s">
        <v>786</v>
      </c>
      <c r="AG92" t="s">
        <v>4071</v>
      </c>
      <c r="AH92" s="114">
        <f>AH89-AH88</f>
        <v>47928019.374193549</v>
      </c>
    </row>
    <row r="93" spans="11:50" x14ac:dyDescent="0.25">
      <c r="K93" s="47">
        <v>500000</v>
      </c>
      <c r="L93" s="48" t="s">
        <v>787</v>
      </c>
    </row>
    <row r="94" spans="11:50" x14ac:dyDescent="0.25">
      <c r="K94" s="47">
        <v>75000</v>
      </c>
      <c r="L94" s="48" t="s">
        <v>788</v>
      </c>
    </row>
    <row r="95" spans="11:50" x14ac:dyDescent="0.25">
      <c r="K95" s="47">
        <v>0</v>
      </c>
      <c r="L95" s="48" t="s">
        <v>790</v>
      </c>
    </row>
    <row r="96" spans="11:50" x14ac:dyDescent="0.25">
      <c r="K96" s="47">
        <v>500000</v>
      </c>
      <c r="L96" s="48" t="s">
        <v>564</v>
      </c>
    </row>
    <row r="97" spans="8:12" x14ac:dyDescent="0.25">
      <c r="K97" s="47">
        <v>50000</v>
      </c>
      <c r="L97" s="48" t="s">
        <v>793</v>
      </c>
    </row>
    <row r="98" spans="8:12" x14ac:dyDescent="0.25">
      <c r="H98" s="96"/>
      <c r="K98" s="47">
        <v>140000</v>
      </c>
      <c r="L98" s="48" t="s">
        <v>314</v>
      </c>
    </row>
    <row r="99" spans="8:12" x14ac:dyDescent="0.25">
      <c r="K99" s="47"/>
      <c r="L99" s="48" t="s">
        <v>25</v>
      </c>
    </row>
    <row r="100" spans="8:12" x14ac:dyDescent="0.25">
      <c r="K100" s="47">
        <f>SUM(K88:K99)</f>
        <v>2645000</v>
      </c>
      <c r="L100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4299</v>
      </c>
      <c r="C1" s="99" t="s">
        <v>4300</v>
      </c>
      <c r="D1" s="99" t="s">
        <v>4301</v>
      </c>
      <c r="E1" s="99" t="s">
        <v>4302</v>
      </c>
      <c r="F1" s="74" t="s">
        <v>4303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4315</v>
      </c>
      <c r="V10" s="96" t="s">
        <v>4317</v>
      </c>
      <c r="W10" t="s">
        <v>4311</v>
      </c>
      <c r="X10" t="s">
        <v>4313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4314</v>
      </c>
      <c r="Q13" s="99" t="s">
        <v>4315</v>
      </c>
      <c r="R13" s="99" t="s">
        <v>4316</v>
      </c>
      <c r="S13" s="99" t="s">
        <v>4310</v>
      </c>
      <c r="T13" s="99" t="s">
        <v>4312</v>
      </c>
      <c r="U13" s="69" t="s">
        <v>4311</v>
      </c>
      <c r="V13" s="69" t="s">
        <v>4313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4304</v>
      </c>
      <c r="F27" s="99" t="s">
        <v>4305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2018-10-24T10:46:35Z</dcterms:modified>
</cp:coreProperties>
</file>